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defaultThemeVersion="124226"/>
  <mc:AlternateContent xmlns:mc="http://schemas.openxmlformats.org/markup-compatibility/2006">
    <mc:Choice Requires="x15">
      <x15ac:absPath xmlns:x15ac="http://schemas.microsoft.com/office/spreadsheetml/2010/11/ac" url="C:\Users\Victor\Desktop\"/>
    </mc:Choice>
  </mc:AlternateContent>
  <xr:revisionPtr revIDLastSave="0" documentId="13_ncr:1_{20416D73-3619-42B8-97F9-0902309B5BA2}" xr6:coauthVersionLast="47" xr6:coauthVersionMax="47" xr10:uidLastSave="{00000000-0000-0000-0000-000000000000}"/>
  <bookViews>
    <workbookView xWindow="-120" yWindow="-120" windowWidth="20730" windowHeight="11160" tabRatio="882" firstSheet="2" activeTab="2" xr2:uid="{00000000-000D-0000-FFFF-FFFF00000000}"/>
  </bookViews>
  <sheets>
    <sheet name="Instructivo" sheetId="20" state="hidden" r:id="rId1"/>
    <sheet name="Instructivo R. Gestión" sheetId="44" state="hidden" r:id="rId2"/>
    <sheet name="Riesgos de gestión" sheetId="68" r:id="rId3"/>
    <sheet name="Instructivo R. Corrupción" sheetId="45" state="hidden" r:id="rId4"/>
    <sheet name="Riesgos de Corrupción" sheetId="69" r:id="rId5"/>
    <sheet name="Impacto Corrupción" sheetId="43" state="hidden" r:id="rId6"/>
    <sheet name="Impacto Corrupcion Contractual" sheetId="53" state="hidden" r:id="rId7"/>
    <sheet name="Impacto Servicios Tecnologicos" sheetId="67" state="hidden" r:id="rId8"/>
    <sheet name="Impacto Corrup Financiera" sheetId="66" state="hidden" r:id="rId9"/>
    <sheet name="Hoja1" sheetId="65" state="hidden" r:id="rId10"/>
    <sheet name="Impacto Corrupcion Ciudadano" sheetId="63" state="hidden" r:id="rId11"/>
    <sheet name="Impacto Corrupcion Bienes y Ser" sheetId="64" state="hidden" r:id="rId12"/>
    <sheet name="Impacto Corrupción Disciplinari" sheetId="62" state="hidden" r:id="rId13"/>
    <sheet name="Impacto Corrupcion Habilitacion" sheetId="55" state="hidden" r:id="rId14"/>
    <sheet name="Impacto Corrupcion Agrologia" sheetId="54" state="hidden" r:id="rId15"/>
    <sheet name="Corrupcion Documental" sheetId="56" state="hidden" r:id="rId16"/>
    <sheet name="Corrupcion Cartografia" sheetId="58" state="hidden" r:id="rId17"/>
    <sheet name="Corrupcion Evaluacion y Seguim" sheetId="57" state="hidden" r:id="rId18"/>
    <sheet name="Corrupción Geografica R30" sheetId="59" state="hidden" r:id="rId19"/>
    <sheet name="Corrupción Geografica R31" sheetId="60" state="hidden" r:id="rId20"/>
    <sheet name="Corrupción Catastro" sheetId="61" state="hidden" r:id="rId21"/>
    <sheet name="Matriz Calor Inherente" sheetId="18" state="hidden" r:id="rId22"/>
    <sheet name="Matriz Calor Residual" sheetId="19" state="hidden" r:id="rId23"/>
    <sheet name="Tabla probabilidad" sheetId="12" state="hidden" r:id="rId24"/>
    <sheet name="Tabla Impacto" sheetId="13" state="hidden" r:id="rId25"/>
    <sheet name="Tabla Valoración controles" sheetId="15" state="hidden" r:id="rId26"/>
    <sheet name="Opciones Tratamiento" sheetId="16" state="hidden" r:id="rId27"/>
    <sheet name="ListasRSec" sheetId="51" state="hidden" r:id="rId28"/>
    <sheet name="Listas" sheetId="39" state="hidden" r:id="rId29"/>
  </sheets>
  <definedNames>
    <definedName name="_xlnm._FilterDatabase" localSheetId="4" hidden="1">'Riesgos de Corrupción'!$A$3:$AL$32</definedName>
    <definedName name="_xlnm._FilterDatabase" localSheetId="2" hidden="1">'Riesgos de gestión'!$A$3:$AM$100</definedName>
    <definedName name="_rc">ListasRSec!$G$216:$G$233</definedName>
    <definedName name="amenazas">ListasRSec!$B$55:$B$89</definedName>
    <definedName name="bd">ListasRSec!$G$239:$G$252</definedName>
    <definedName name="CANAL_DE_DISTRIBUCION">#REF!</definedName>
    <definedName name="CAUSAS">#REF!</definedName>
    <definedName name="ClasificacionRSEG">ListasRSec!$F$15:$F$22</definedName>
    <definedName name="CLAVECAUSA">#REF!</definedName>
    <definedName name="CLAVECONTROL">#REF!</definedName>
    <definedName name="CLAVEPOLITICA">#REF!</definedName>
    <definedName name="CLAVEPROCEDIMIENTO">#REF!</definedName>
    <definedName name="CONTROL">#REF!</definedName>
    <definedName name="di">ListasRSec!$G$193:$G$210</definedName>
    <definedName name="ea">ListasRSec!$G$147:$G$154</definedName>
    <definedName name="FACTOR">#REF!</definedName>
    <definedName name="hw" localSheetId="27">ListasRSec!$G$78:$G$92</definedName>
    <definedName name="hw">ListasRSec!$G$78:$G$92</definedName>
    <definedName name="ip">ListasRSec!$G$170:$G$183</definedName>
    <definedName name="nada" localSheetId="27">ListasRSec!$C$268:$C$273</definedName>
    <definedName name="OPERACIÓN">#REF!</definedName>
    <definedName name="POLITICA">#REF!</definedName>
    <definedName name="PROCESOS">#REF!</definedName>
    <definedName name="ProcesosSEG">ListasRSec!$B$35:$B$52</definedName>
    <definedName name="PRODUCTO">#REF!</definedName>
    <definedName name="RESPUESTA">#REF!</definedName>
    <definedName name="sa">ListasRSec!$G$124:$G$134</definedName>
    <definedName name="si">ListasRSec!$G$101:$G$115</definedName>
    <definedName name="SI_NO">#REF!</definedName>
    <definedName name="sw">ListasRSec!$G$55:$G$72</definedName>
    <definedName name="Tipo_Activo">ListasRSec!$F$36:$F$45</definedName>
    <definedName name="Tipo_riesgoseg">ListasRSec!$F$10:$F$12</definedName>
    <definedName name="TIPOACCION">#REF!</definedName>
    <definedName name="TRATAMIENTO_RIESGO">#REF!</definedName>
  </definedNames>
  <calcPr calcId="191029"/>
  <pivotCaches>
    <pivotCache cacheId="0" r:id="rId3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7" i="68" l="1"/>
  <c r="AD8" i="68"/>
  <c r="AD9" i="68"/>
  <c r="AD10" i="68"/>
  <c r="AF52" i="68"/>
  <c r="AF53" i="68"/>
  <c r="AF58" i="68"/>
  <c r="AF86" i="68"/>
  <c r="AH86" i="68" s="1"/>
  <c r="AF87" i="68"/>
  <c r="AF88" i="68"/>
  <c r="AF89" i="68"/>
  <c r="AF90" i="68"/>
  <c r="AH90" i="68" s="1"/>
  <c r="AH88" i="68"/>
  <c r="AH87" i="68"/>
  <c r="AH89" i="68"/>
  <c r="X23" i="69"/>
  <c r="U23" i="69"/>
  <c r="N23" i="69"/>
  <c r="O23" i="69" s="1"/>
  <c r="K23" i="69"/>
  <c r="X16" i="69"/>
  <c r="U16" i="69"/>
  <c r="X15" i="69"/>
  <c r="U15" i="69"/>
  <c r="N15" i="69"/>
  <c r="O15" i="69" s="1"/>
  <c r="K15" i="69"/>
  <c r="X14" i="69"/>
  <c r="U14" i="69"/>
  <c r="N14" i="69"/>
  <c r="O14" i="69" s="1"/>
  <c r="K14" i="69"/>
  <c r="L14" i="69" s="1"/>
  <c r="X19" i="69"/>
  <c r="U19" i="69"/>
  <c r="X18" i="69"/>
  <c r="U18" i="69"/>
  <c r="X17" i="69"/>
  <c r="U17" i="69"/>
  <c r="N17" i="69"/>
  <c r="O17" i="69" s="1"/>
  <c r="K17" i="69"/>
  <c r="L17" i="69" s="1"/>
  <c r="X22" i="69"/>
  <c r="U22" i="69"/>
  <c r="X21" i="69"/>
  <c r="U21" i="69"/>
  <c r="X20" i="69"/>
  <c r="U20" i="69"/>
  <c r="N20" i="69"/>
  <c r="O20" i="69" s="1"/>
  <c r="K20" i="69"/>
  <c r="L20" i="69" s="1"/>
  <c r="Y58" i="68"/>
  <c r="O58" i="68"/>
  <c r="Y57" i="68"/>
  <c r="V57" i="68"/>
  <c r="Q57" i="68"/>
  <c r="L57" i="68"/>
  <c r="M57" i="68" s="1"/>
  <c r="Y56" i="68"/>
  <c r="V56" i="68"/>
  <c r="O56" i="68"/>
  <c r="Y55" i="68"/>
  <c r="V55" i="68"/>
  <c r="O55" i="68"/>
  <c r="Y54" i="68"/>
  <c r="V54" i="68"/>
  <c r="L54" i="68"/>
  <c r="M54" i="68" s="1"/>
  <c r="Y53" i="68"/>
  <c r="V53" i="68"/>
  <c r="O53" i="68"/>
  <c r="Y52" i="68"/>
  <c r="V52" i="68"/>
  <c r="O52" i="68"/>
  <c r="Y51" i="68"/>
  <c r="V51" i="68"/>
  <c r="L51" i="68"/>
  <c r="M51" i="68" s="1"/>
  <c r="Y30" i="68"/>
  <c r="V30" i="68"/>
  <c r="O30" i="68"/>
  <c r="Y29" i="68"/>
  <c r="V29" i="68"/>
  <c r="Q29" i="68"/>
  <c r="L29" i="68"/>
  <c r="M29" i="68" s="1"/>
  <c r="Y28" i="68"/>
  <c r="V28" i="68"/>
  <c r="Q28" i="68"/>
  <c r="L28" i="68"/>
  <c r="Y27" i="68"/>
  <c r="V27" i="68"/>
  <c r="Q27" i="68"/>
  <c r="L27" i="68"/>
  <c r="Y26" i="68"/>
  <c r="V26" i="68"/>
  <c r="Q26" i="68"/>
  <c r="L26" i="68"/>
  <c r="M26" i="68" s="1"/>
  <c r="Y25" i="68"/>
  <c r="V25" i="68"/>
  <c r="L25" i="68"/>
  <c r="M25" i="68" s="1"/>
  <c r="Y24" i="68"/>
  <c r="V24" i="68"/>
  <c r="O24" i="68"/>
  <c r="Y23" i="68"/>
  <c r="V23" i="68"/>
  <c r="Q23" i="68"/>
  <c r="L23" i="68"/>
  <c r="M23" i="68" s="1"/>
  <c r="Y22" i="68"/>
  <c r="V22" i="68"/>
  <c r="O22" i="68"/>
  <c r="Y21" i="68"/>
  <c r="V21" i="68"/>
  <c r="Q21" i="68"/>
  <c r="L21" i="68"/>
  <c r="M21" i="68" s="1"/>
  <c r="Y20" i="68"/>
  <c r="V20" i="68"/>
  <c r="O20" i="68"/>
  <c r="Y19" i="68"/>
  <c r="V19" i="68"/>
  <c r="O19" i="68"/>
  <c r="Y18" i="68"/>
  <c r="V18" i="68"/>
  <c r="O18" i="68"/>
  <c r="Y17" i="68"/>
  <c r="V17" i="68"/>
  <c r="Q17" i="68"/>
  <c r="L17" i="68"/>
  <c r="Y91" i="68"/>
  <c r="V91" i="68"/>
  <c r="Q91" i="68"/>
  <c r="L91" i="68"/>
  <c r="M91" i="68" s="1"/>
  <c r="Y85" i="68"/>
  <c r="V85" i="68"/>
  <c r="Q85" i="68"/>
  <c r="L85" i="68"/>
  <c r="M85" i="68" s="1"/>
  <c r="Y97" i="68"/>
  <c r="V97" i="68"/>
  <c r="Q97" i="68"/>
  <c r="L97" i="68"/>
  <c r="R97" i="68" s="1"/>
  <c r="Y67" i="68"/>
  <c r="V67" i="68"/>
  <c r="O67" i="68"/>
  <c r="Y66" i="68"/>
  <c r="V66" i="68"/>
  <c r="Q66" i="68"/>
  <c r="L66" i="68"/>
  <c r="M66" i="68" s="1"/>
  <c r="Y50" i="68"/>
  <c r="V50" i="68"/>
  <c r="Q50" i="68"/>
  <c r="L50" i="68"/>
  <c r="Y49" i="68"/>
  <c r="V49" i="68"/>
  <c r="L49" i="68"/>
  <c r="M49" i="68" s="1"/>
  <c r="Y60" i="68"/>
  <c r="V60" i="68"/>
  <c r="O60" i="68"/>
  <c r="Y59" i="68"/>
  <c r="V59" i="68"/>
  <c r="Q59" i="68"/>
  <c r="L59" i="68"/>
  <c r="Y63" i="68"/>
  <c r="V63" i="68"/>
  <c r="O63" i="68"/>
  <c r="Y62" i="68"/>
  <c r="V62" i="68"/>
  <c r="Q62" i="68"/>
  <c r="L62" i="68"/>
  <c r="Y61" i="68"/>
  <c r="V61" i="68"/>
  <c r="Q61" i="68"/>
  <c r="L61" i="68"/>
  <c r="AG59" i="68" l="1"/>
  <c r="AF59" i="68" s="1"/>
  <c r="P15" i="69"/>
  <c r="AG28" i="68"/>
  <c r="AF28" i="68" s="1"/>
  <c r="AG57" i="68"/>
  <c r="AF57" i="68" s="1"/>
  <c r="AF15" i="69"/>
  <c r="AE15" i="69" s="1"/>
  <c r="P23" i="69"/>
  <c r="AF20" i="69"/>
  <c r="AE20" i="69" s="1"/>
  <c r="AF14" i="69"/>
  <c r="AE14" i="69" s="1"/>
  <c r="AB20" i="69"/>
  <c r="AC20" i="69" s="1"/>
  <c r="P17" i="69"/>
  <c r="AG17" i="68"/>
  <c r="AF17" i="68" s="1"/>
  <c r="AG50" i="68"/>
  <c r="AF50" i="68" s="1"/>
  <c r="AC49" i="68"/>
  <c r="AE49" i="68" s="1"/>
  <c r="AG62" i="68"/>
  <c r="AF62" i="68" s="1"/>
  <c r="R49" i="68"/>
  <c r="AC85" i="68"/>
  <c r="AE85" i="68" s="1"/>
  <c r="R27" i="68"/>
  <c r="R59" i="68"/>
  <c r="AG26" i="68"/>
  <c r="AF26" i="68" s="1"/>
  <c r="M27" i="68"/>
  <c r="AC27" i="68" s="1"/>
  <c r="AC57" i="68"/>
  <c r="AD57" i="68" s="1"/>
  <c r="R23" i="68"/>
  <c r="AG97" i="68"/>
  <c r="AF97" i="68" s="1"/>
  <c r="R66" i="68"/>
  <c r="AC26" i="68"/>
  <c r="AE26" i="68" s="1"/>
  <c r="AC21" i="68"/>
  <c r="AE21" i="68" s="1"/>
  <c r="AC22" i="68" s="1"/>
  <c r="R50" i="68"/>
  <c r="R91" i="68"/>
  <c r="AG21" i="68"/>
  <c r="AF21" i="68" s="1"/>
  <c r="R28" i="68"/>
  <c r="AF23" i="69"/>
  <c r="AE23" i="69" s="1"/>
  <c r="AF17" i="69"/>
  <c r="AE17" i="69" s="1"/>
  <c r="AB14" i="69"/>
  <c r="AF16" i="69"/>
  <c r="AE16" i="69" s="1"/>
  <c r="L23" i="69"/>
  <c r="AB23" i="69" s="1"/>
  <c r="AB17" i="69"/>
  <c r="P14" i="69"/>
  <c r="L15" i="69"/>
  <c r="AB15" i="69" s="1"/>
  <c r="P20" i="69"/>
  <c r="R62" i="68"/>
  <c r="R57" i="68"/>
  <c r="Q51" i="68"/>
  <c r="AG51" i="68" s="1"/>
  <c r="AF51" i="68" s="1"/>
  <c r="R51" i="68"/>
  <c r="Q25" i="68"/>
  <c r="AG25" i="68" s="1"/>
  <c r="AF25" i="68" s="1"/>
  <c r="R25" i="68"/>
  <c r="AG85" i="68"/>
  <c r="AF85" i="68" s="1"/>
  <c r="R17" i="68"/>
  <c r="AG29" i="68"/>
  <c r="AF29" i="68" s="1"/>
  <c r="Q54" i="68"/>
  <c r="AG54" i="68" s="1"/>
  <c r="AF54" i="68" s="1"/>
  <c r="R54" i="68"/>
  <c r="AC23" i="68"/>
  <c r="R61" i="68"/>
  <c r="AC51" i="68"/>
  <c r="M62" i="68"/>
  <c r="AC62" i="68" s="1"/>
  <c r="R85" i="68"/>
  <c r="R21" i="68"/>
  <c r="R26" i="68"/>
  <c r="AC66" i="68"/>
  <c r="AC25" i="68"/>
  <c r="R29" i="68"/>
  <c r="AC54" i="68"/>
  <c r="AG61" i="68"/>
  <c r="AF61" i="68" s="1"/>
  <c r="AG66" i="68"/>
  <c r="AF66" i="68" s="1"/>
  <c r="M97" i="68"/>
  <c r="AC97" i="68" s="1"/>
  <c r="AG91" i="68"/>
  <c r="AF91" i="68" s="1"/>
  <c r="M17" i="68"/>
  <c r="AC17" i="68" s="1"/>
  <c r="AG23" i="68"/>
  <c r="AF23" i="68" s="1"/>
  <c r="AG27" i="68"/>
  <c r="AF27" i="68" s="1"/>
  <c r="M28" i="68"/>
  <c r="AC28" i="68" s="1"/>
  <c r="AC91" i="68"/>
  <c r="Q49" i="68"/>
  <c r="AG49" i="68" s="1"/>
  <c r="AF49" i="68" s="1"/>
  <c r="M50" i="68"/>
  <c r="AC50" i="68" s="1"/>
  <c r="AC29" i="68"/>
  <c r="M61" i="68"/>
  <c r="AC61" i="68" s="1"/>
  <c r="M59" i="68"/>
  <c r="AC59" i="68" s="1"/>
  <c r="AE59" i="68" s="1"/>
  <c r="AH57" i="68" l="1"/>
  <c r="AF21" i="69"/>
  <c r="AF22" i="69" s="1"/>
  <c r="AE22" i="69" s="1"/>
  <c r="AG20" i="69"/>
  <c r="AD20" i="69"/>
  <c r="AB21" i="69" s="1"/>
  <c r="AC21" i="69" s="1"/>
  <c r="AG18" i="68"/>
  <c r="AD49" i="68"/>
  <c r="AH49" i="68" s="1"/>
  <c r="AG63" i="68"/>
  <c r="AF63" i="68" s="1"/>
  <c r="AE57" i="68"/>
  <c r="AD26" i="68"/>
  <c r="AH26" i="68" s="1"/>
  <c r="AD85" i="68"/>
  <c r="AH85" i="68" s="1"/>
  <c r="AD27" i="68"/>
  <c r="AH27" i="68" s="1"/>
  <c r="AE27" i="68"/>
  <c r="AG30" i="68"/>
  <c r="AF30" i="68" s="1"/>
  <c r="AD21" i="68"/>
  <c r="AH21" i="68" s="1"/>
  <c r="AG22" i="68"/>
  <c r="AF22" i="68" s="1"/>
  <c r="AC14" i="69"/>
  <c r="AG14" i="69" s="1"/>
  <c r="AD14" i="69"/>
  <c r="AF18" i="69"/>
  <c r="AC23" i="69"/>
  <c r="AG23" i="69" s="1"/>
  <c r="AD23" i="69"/>
  <c r="AD15" i="69"/>
  <c r="AB16" i="69" s="1"/>
  <c r="AC15" i="69"/>
  <c r="AG15" i="69" s="1"/>
  <c r="AD17" i="69"/>
  <c r="AB18" i="69" s="1"/>
  <c r="AC17" i="69"/>
  <c r="AG17" i="69" s="1"/>
  <c r="AE62" i="68"/>
  <c r="AC63" i="68" s="1"/>
  <c r="AD62" i="68"/>
  <c r="AH62" i="68" s="1"/>
  <c r="AC60" i="68"/>
  <c r="AD59" i="68"/>
  <c r="AH59" i="68" s="1"/>
  <c r="AE54" i="68"/>
  <c r="AC55" i="68" s="1"/>
  <c r="AD54" i="68"/>
  <c r="AG55" i="68"/>
  <c r="AF55" i="68" s="1"/>
  <c r="AD50" i="68"/>
  <c r="AH50" i="68" s="1"/>
  <c r="AE50" i="68"/>
  <c r="AD17" i="68"/>
  <c r="AH17" i="68" s="1"/>
  <c r="AE17" i="68"/>
  <c r="AC18" i="68" s="1"/>
  <c r="AD28" i="68"/>
  <c r="AH28" i="68" s="1"/>
  <c r="AE28" i="68"/>
  <c r="AG67" i="68"/>
  <c r="AF67" i="68" s="1"/>
  <c r="AE91" i="68"/>
  <c r="AD91" i="68"/>
  <c r="AH91" i="68" s="1"/>
  <c r="AG60" i="68"/>
  <c r="AF60" i="68" s="1"/>
  <c r="AE97" i="68"/>
  <c r="AD97" i="68"/>
  <c r="AH97" i="68" s="1"/>
  <c r="AE29" i="68"/>
  <c r="AC30" i="68" s="1"/>
  <c r="AD29" i="68"/>
  <c r="AH29" i="68" s="1"/>
  <c r="AG24" i="68"/>
  <c r="AF24" i="68" s="1"/>
  <c r="AE25" i="68"/>
  <c r="AD25" i="68"/>
  <c r="AH25" i="68" s="1"/>
  <c r="AE23" i="68"/>
  <c r="AC24" i="68" s="1"/>
  <c r="AD23" i="68"/>
  <c r="AD61" i="68"/>
  <c r="AH61" i="68" s="1"/>
  <c r="AE61" i="68"/>
  <c r="AE51" i="68"/>
  <c r="AD51" i="68"/>
  <c r="AH51" i="68" s="1"/>
  <c r="AD66" i="68"/>
  <c r="AE66" i="68"/>
  <c r="AC67" i="68" s="1"/>
  <c r="AD22" i="68"/>
  <c r="AE22" i="68"/>
  <c r="AG19" i="68" l="1"/>
  <c r="AF19" i="68" s="1"/>
  <c r="AF18" i="68"/>
  <c r="AD21" i="69"/>
  <c r="AB22" i="69" s="1"/>
  <c r="AC22" i="69" s="1"/>
  <c r="AG22" i="69" s="1"/>
  <c r="AE21" i="69"/>
  <c r="AG21" i="69" s="1"/>
  <c r="AG20" i="68"/>
  <c r="AF20" i="68" s="1"/>
  <c r="AH22" i="68"/>
  <c r="AH66" i="68"/>
  <c r="AH23" i="68"/>
  <c r="AD16" i="69"/>
  <c r="AC16" i="69"/>
  <c r="AG16" i="69" s="1"/>
  <c r="AE18" i="69"/>
  <c r="AF19" i="69"/>
  <c r="AE19" i="69" s="1"/>
  <c r="AD18" i="69"/>
  <c r="AB19" i="69" s="1"/>
  <c r="AC18" i="69"/>
  <c r="AD18" i="68"/>
  <c r="AE18" i="68"/>
  <c r="AC19" i="68" s="1"/>
  <c r="AE24" i="68"/>
  <c r="AD24" i="68"/>
  <c r="AH24" i="68" s="1"/>
  <c r="AG56" i="68"/>
  <c r="AF56" i="68" s="1"/>
  <c r="AH54" i="68"/>
  <c r="AD55" i="68"/>
  <c r="AE55" i="68"/>
  <c r="AC56" i="68" s="1"/>
  <c r="AE67" i="68"/>
  <c r="AD67" i="68"/>
  <c r="AH67" i="68" s="1"/>
  <c r="AE60" i="68"/>
  <c r="AD60" i="68"/>
  <c r="AH60" i="68" s="1"/>
  <c r="AD30" i="68"/>
  <c r="AH30" i="68" s="1"/>
  <c r="AE30" i="68"/>
  <c r="AE63" i="68"/>
  <c r="AD63" i="68"/>
  <c r="AH63" i="68" s="1"/>
  <c r="AG18" i="69" l="1"/>
  <c r="AD22" i="69"/>
  <c r="AH18" i="68"/>
  <c r="AH55" i="68"/>
  <c r="AD19" i="69"/>
  <c r="AC19" i="69"/>
  <c r="AG19" i="69" s="1"/>
  <c r="AE19" i="68"/>
  <c r="AC20" i="68" s="1"/>
  <c r="AD19" i="68"/>
  <c r="AH19" i="68" s="1"/>
  <c r="AE56" i="68"/>
  <c r="AD56" i="68"/>
  <c r="AH56" i="68" l="1"/>
  <c r="AE20" i="68"/>
  <c r="AD20" i="68"/>
  <c r="AH20" i="68" s="1"/>
  <c r="L100" i="68" l="1"/>
  <c r="M100" i="68" s="1"/>
  <c r="Q100" i="68"/>
  <c r="V100" i="68"/>
  <c r="Y100" i="68"/>
  <c r="AG100" i="68" l="1"/>
  <c r="AF100" i="68" s="1"/>
  <c r="AC100" i="68"/>
  <c r="AE100" i="68" s="1"/>
  <c r="R100" i="68"/>
  <c r="AD100" i="68" l="1"/>
  <c r="AH100" i="68" s="1"/>
  <c r="V32" i="68" l="1"/>
  <c r="V31" i="68"/>
  <c r="V44" i="68" l="1"/>
  <c r="V43" i="68"/>
  <c r="X31" i="69" l="1"/>
  <c r="U31" i="69"/>
  <c r="N31" i="69"/>
  <c r="O31" i="69" s="1"/>
  <c r="K31" i="69"/>
  <c r="X30" i="69"/>
  <c r="U30" i="69"/>
  <c r="N30" i="69"/>
  <c r="O30" i="69" s="1"/>
  <c r="K30" i="69"/>
  <c r="L30" i="69" s="1"/>
  <c r="X32" i="69"/>
  <c r="U32" i="69"/>
  <c r="N32" i="69"/>
  <c r="O32" i="69" s="1"/>
  <c r="K32" i="69"/>
  <c r="L32" i="69" s="1"/>
  <c r="X29" i="69"/>
  <c r="U29" i="69"/>
  <c r="X28" i="69"/>
  <c r="U28" i="69"/>
  <c r="N28" i="69"/>
  <c r="O28" i="69" s="1"/>
  <c r="K28" i="69"/>
  <c r="L28" i="69" s="1"/>
  <c r="X27" i="69"/>
  <c r="U27" i="69"/>
  <c r="N27" i="69"/>
  <c r="O27" i="69" s="1"/>
  <c r="K27" i="69"/>
  <c r="L27" i="69" s="1"/>
  <c r="X26" i="69"/>
  <c r="U26" i="69"/>
  <c r="N26" i="69"/>
  <c r="O26" i="69" s="1"/>
  <c r="K26" i="69"/>
  <c r="X25" i="69"/>
  <c r="U25" i="69"/>
  <c r="X24" i="69"/>
  <c r="U24" i="69"/>
  <c r="N24" i="69"/>
  <c r="O24" i="69" s="1"/>
  <c r="K24" i="69"/>
  <c r="X13" i="69"/>
  <c r="U13" i="69"/>
  <c r="X12" i="69"/>
  <c r="U12" i="69"/>
  <c r="N12" i="69"/>
  <c r="O12" i="69" s="1"/>
  <c r="K12" i="69"/>
  <c r="L12" i="69" s="1"/>
  <c r="X11" i="69"/>
  <c r="U11" i="69"/>
  <c r="X10" i="69"/>
  <c r="U10" i="69"/>
  <c r="N10" i="69"/>
  <c r="O10" i="69" s="1"/>
  <c r="K10" i="69"/>
  <c r="L10" i="69" s="1"/>
  <c r="X9" i="69"/>
  <c r="U9" i="69"/>
  <c r="N9" i="69"/>
  <c r="O9" i="69" s="1"/>
  <c r="K9" i="69"/>
  <c r="L9" i="69" s="1"/>
  <c r="X8" i="69"/>
  <c r="U8" i="69"/>
  <c r="X7" i="69"/>
  <c r="U7" i="69"/>
  <c r="N7" i="69"/>
  <c r="O7" i="69" s="1"/>
  <c r="K7" i="69"/>
  <c r="L7" i="69" s="1"/>
  <c r="AF24" i="69" l="1"/>
  <c r="AE24" i="69" s="1"/>
  <c r="AF30" i="69"/>
  <c r="AE30" i="69" s="1"/>
  <c r="AF7" i="69"/>
  <c r="AF8" i="69" s="1"/>
  <c r="AE8" i="69" s="1"/>
  <c r="AF12" i="69"/>
  <c r="AF13" i="69" s="1"/>
  <c r="AE13" i="69" s="1"/>
  <c r="P31" i="69"/>
  <c r="AB7" i="69"/>
  <c r="AD7" i="69" s="1"/>
  <c r="AB8" i="69" s="1"/>
  <c r="AF26" i="69"/>
  <c r="AE26" i="69" s="1"/>
  <c r="AB32" i="69"/>
  <c r="AD32" i="69" s="1"/>
  <c r="AF10" i="69"/>
  <c r="AF11" i="69" s="1"/>
  <c r="AE11" i="69" s="1"/>
  <c r="P28" i="69"/>
  <c r="L31" i="69"/>
  <c r="AB31" i="69" s="1"/>
  <c r="AB10" i="69"/>
  <c r="AD10" i="69" s="1"/>
  <c r="AB11" i="69" s="1"/>
  <c r="P12" i="69"/>
  <c r="P24" i="69"/>
  <c r="AF32" i="69"/>
  <c r="AE32" i="69" s="1"/>
  <c r="P30" i="69"/>
  <c r="AB30" i="69"/>
  <c r="AD30" i="69" s="1"/>
  <c r="AB12" i="69"/>
  <c r="AD12" i="69" s="1"/>
  <c r="AB13" i="69" s="1"/>
  <c r="L24" i="69"/>
  <c r="AB24" i="69" s="1"/>
  <c r="AD24" i="69" s="1"/>
  <c r="AB25" i="69" s="1"/>
  <c r="AB9" i="69"/>
  <c r="P9" i="69"/>
  <c r="AF27" i="69"/>
  <c r="AE27" i="69" s="1"/>
  <c r="AB27" i="69"/>
  <c r="P7" i="69"/>
  <c r="AF9" i="69"/>
  <c r="AE9" i="69" s="1"/>
  <c r="AF25" i="69"/>
  <c r="AE25" i="69" s="1"/>
  <c r="P10" i="69"/>
  <c r="L26" i="69"/>
  <c r="AB26" i="69" s="1"/>
  <c r="P26" i="69"/>
  <c r="P27" i="69"/>
  <c r="AF31" i="69"/>
  <c r="AE31" i="69" s="1"/>
  <c r="P32" i="69"/>
  <c r="AB28" i="69"/>
  <c r="AF28" i="69"/>
  <c r="AE28" i="69" s="1"/>
  <c r="AE7" i="69" l="1"/>
  <c r="AE12" i="69"/>
  <c r="AC7" i="69"/>
  <c r="AC30" i="69"/>
  <c r="AG30" i="69" s="1"/>
  <c r="AE10" i="69"/>
  <c r="AC32" i="69"/>
  <c r="AG32" i="69" s="1"/>
  <c r="AC10" i="69"/>
  <c r="AC24" i="69"/>
  <c r="AG24" i="69" s="1"/>
  <c r="AC12" i="69"/>
  <c r="AF29" i="69"/>
  <c r="AE29" i="69" s="1"/>
  <c r="AD25" i="69"/>
  <c r="AC25" i="69"/>
  <c r="AG25" i="69" s="1"/>
  <c r="AC31" i="69"/>
  <c r="AG31" i="69" s="1"/>
  <c r="AD31" i="69"/>
  <c r="AD26" i="69"/>
  <c r="AC26" i="69"/>
  <c r="AG26" i="69" s="1"/>
  <c r="AD8" i="69"/>
  <c r="AC8" i="69"/>
  <c r="AG8" i="69" s="1"/>
  <c r="AD28" i="69"/>
  <c r="AB29" i="69" s="1"/>
  <c r="AC28" i="69"/>
  <c r="AG28" i="69" s="1"/>
  <c r="AD9" i="69"/>
  <c r="AC9" i="69"/>
  <c r="AG9" i="69" s="1"/>
  <c r="AC27" i="69"/>
  <c r="AG27" i="69" s="1"/>
  <c r="AD27" i="69"/>
  <c r="AD13" i="69"/>
  <c r="AC13" i="69"/>
  <c r="AG13" i="69" s="1"/>
  <c r="AD11" i="69"/>
  <c r="AC11" i="69"/>
  <c r="AG11" i="69" s="1"/>
  <c r="AG7" i="69" l="1"/>
  <c r="AG12" i="69"/>
  <c r="AG10" i="69"/>
  <c r="AD29" i="69"/>
  <c r="AC29" i="69"/>
  <c r="AG29" i="69" s="1"/>
  <c r="Y99" i="68" l="1"/>
  <c r="V99" i="68"/>
  <c r="Y98" i="68"/>
  <c r="V98" i="68"/>
  <c r="L98" i="68"/>
  <c r="Y83" i="68"/>
  <c r="V83" i="68"/>
  <c r="Q83" i="68"/>
  <c r="L83" i="68"/>
  <c r="R83" i="68" s="1"/>
  <c r="Y82" i="68"/>
  <c r="V82" i="68"/>
  <c r="L82" i="68"/>
  <c r="Y81" i="68"/>
  <c r="V81" i="68"/>
  <c r="L81" i="68"/>
  <c r="M81" i="68" s="1"/>
  <c r="Y80" i="68"/>
  <c r="V80" i="68"/>
  <c r="Y79" i="68"/>
  <c r="V79" i="68"/>
  <c r="Y78" i="68"/>
  <c r="V78" i="68"/>
  <c r="Y77" i="68"/>
  <c r="V77" i="68"/>
  <c r="Y76" i="68"/>
  <c r="V76" i="68"/>
  <c r="L76" i="68"/>
  <c r="Y75" i="68"/>
  <c r="V75" i="68"/>
  <c r="Q75" i="68"/>
  <c r="L75" i="68"/>
  <c r="M75" i="68" s="1"/>
  <c r="Y74" i="68"/>
  <c r="V74" i="68"/>
  <c r="Y73" i="68"/>
  <c r="V73" i="68"/>
  <c r="Y72" i="68"/>
  <c r="V72" i="68"/>
  <c r="L72" i="68"/>
  <c r="M72" i="68" s="1"/>
  <c r="Y71" i="68"/>
  <c r="V71" i="68"/>
  <c r="Y70" i="68"/>
  <c r="V70" i="68"/>
  <c r="Y69" i="68"/>
  <c r="V69" i="68"/>
  <c r="L69" i="68"/>
  <c r="Y84" i="68"/>
  <c r="V84" i="68"/>
  <c r="L84" i="68"/>
  <c r="M84" i="68" s="1"/>
  <c r="Y68" i="68"/>
  <c r="V68" i="68"/>
  <c r="L68" i="68"/>
  <c r="M68" i="68" s="1"/>
  <c r="Y65" i="68"/>
  <c r="V65" i="68"/>
  <c r="Y64" i="68"/>
  <c r="V64" i="68"/>
  <c r="L64" i="68"/>
  <c r="Y48" i="68"/>
  <c r="V48" i="68"/>
  <c r="Y47" i="68"/>
  <c r="V47" i="68"/>
  <c r="Y46" i="68"/>
  <c r="V46" i="68"/>
  <c r="Y45" i="68"/>
  <c r="V45" i="68"/>
  <c r="L45" i="68"/>
  <c r="M45" i="68" s="1"/>
  <c r="Y44" i="68"/>
  <c r="Y43" i="68"/>
  <c r="L43" i="68"/>
  <c r="Y42" i="68"/>
  <c r="V42" i="68"/>
  <c r="Y41" i="68"/>
  <c r="V41" i="68"/>
  <c r="L41" i="68"/>
  <c r="M41" i="68" s="1"/>
  <c r="Y40" i="68"/>
  <c r="V40" i="68"/>
  <c r="Y39" i="68"/>
  <c r="V39" i="68"/>
  <c r="Y38" i="68"/>
  <c r="V38" i="68"/>
  <c r="L38" i="68"/>
  <c r="Y37" i="68"/>
  <c r="V37" i="68"/>
  <c r="Y36" i="68"/>
  <c r="V36" i="68"/>
  <c r="Y35" i="68"/>
  <c r="V35" i="68"/>
  <c r="Y34" i="68"/>
  <c r="V34" i="68"/>
  <c r="Y33" i="68"/>
  <c r="V33" i="68"/>
  <c r="L33" i="68"/>
  <c r="M33" i="68" s="1"/>
  <c r="Y32" i="68"/>
  <c r="Y31" i="68"/>
  <c r="L31" i="68"/>
  <c r="Y96" i="68"/>
  <c r="V96" i="68"/>
  <c r="Y95" i="68"/>
  <c r="V95" i="68"/>
  <c r="Y94" i="68"/>
  <c r="V94" i="68"/>
  <c r="L94" i="68"/>
  <c r="Y93" i="68"/>
  <c r="V93" i="68"/>
  <c r="Y92" i="68"/>
  <c r="V92" i="68"/>
  <c r="L92" i="68"/>
  <c r="Y16" i="68"/>
  <c r="V16" i="68"/>
  <c r="Y15" i="68"/>
  <c r="V15" i="68"/>
  <c r="Y14" i="68"/>
  <c r="V14" i="68"/>
  <c r="L14" i="68"/>
  <c r="Y13" i="68"/>
  <c r="V13" i="68"/>
  <c r="Y12" i="68"/>
  <c r="V12" i="68"/>
  <c r="Y11" i="68"/>
  <c r="V11" i="68"/>
  <c r="L11" i="68"/>
  <c r="M11" i="68" s="1"/>
  <c r="O73" i="68"/>
  <c r="O93" i="68"/>
  <c r="O15" i="68"/>
  <c r="O78" i="68"/>
  <c r="O39" i="68"/>
  <c r="O70" i="68"/>
  <c r="O16" i="68"/>
  <c r="O37" i="68"/>
  <c r="O95" i="68"/>
  <c r="O99" i="68"/>
  <c r="O34" i="68"/>
  <c r="O44" i="68"/>
  <c r="O48" i="68"/>
  <c r="O74" i="68"/>
  <c r="O46" i="68"/>
  <c r="O77" i="68"/>
  <c r="O79" i="68"/>
  <c r="O36" i="68"/>
  <c r="O71" i="68"/>
  <c r="O13" i="68"/>
  <c r="O40" i="68"/>
  <c r="O47" i="68"/>
  <c r="O42" i="68"/>
  <c r="O80" i="68"/>
  <c r="O12" i="68"/>
  <c r="O35" i="68"/>
  <c r="O96" i="68"/>
  <c r="O65" i="68"/>
  <c r="O32" i="68"/>
  <c r="AC45" i="68" l="1"/>
  <c r="AE45" i="68" s="1"/>
  <c r="AC46" i="68" s="1"/>
  <c r="AE46" i="68" s="1"/>
  <c r="AC47" i="68" s="1"/>
  <c r="AC11" i="68"/>
  <c r="AD11" i="68" s="1"/>
  <c r="AC84" i="68"/>
  <c r="AE84" i="68" s="1"/>
  <c r="AC74" i="68"/>
  <c r="AE74" i="68" s="1"/>
  <c r="AC75" i="68"/>
  <c r="AD75" i="68" s="1"/>
  <c r="AG75" i="68"/>
  <c r="AF75" i="68" s="1"/>
  <c r="AG74" i="68"/>
  <c r="AF74" i="68" s="1"/>
  <c r="M83" i="68"/>
  <c r="AC83" i="68" s="1"/>
  <c r="AC68" i="68"/>
  <c r="AE68" i="68" s="1"/>
  <c r="M92" i="68"/>
  <c r="AC92" i="68" s="1"/>
  <c r="M94" i="68"/>
  <c r="AC94" i="68" s="1"/>
  <c r="M43" i="68"/>
  <c r="AC43" i="68" s="1"/>
  <c r="M14" i="68"/>
  <c r="AC14" i="68" s="1"/>
  <c r="AC41" i="68"/>
  <c r="M31" i="68"/>
  <c r="AC31" i="68" s="1"/>
  <c r="AC33" i="68"/>
  <c r="M38" i="68"/>
  <c r="AC38" i="68" s="1"/>
  <c r="M64" i="68"/>
  <c r="AC64" i="68" s="1"/>
  <c r="M69" i="68"/>
  <c r="AC69" i="68" s="1"/>
  <c r="M76" i="68"/>
  <c r="AC76" i="68" s="1"/>
  <c r="AC72" i="68"/>
  <c r="AG83" i="68"/>
  <c r="AF83" i="68" s="1"/>
  <c r="R75" i="68"/>
  <c r="M82" i="68"/>
  <c r="AC82" i="68" s="1"/>
  <c r="M98" i="68"/>
  <c r="AC98" i="68" s="1"/>
  <c r="AC81" i="68"/>
  <c r="AE11" i="68" l="1"/>
  <c r="AH75" i="68"/>
  <c r="AD84" i="68"/>
  <c r="AD45" i="68"/>
  <c r="AE75" i="68"/>
  <c r="AD68" i="68"/>
  <c r="AD74" i="68"/>
  <c r="AH74" i="68" s="1"/>
  <c r="AD46" i="68"/>
  <c r="AD31" i="68"/>
  <c r="AE31" i="68"/>
  <c r="AC32" i="68" s="1"/>
  <c r="AD38" i="68"/>
  <c r="AE38" i="68"/>
  <c r="AC39" i="68" s="1"/>
  <c r="AD14" i="68"/>
  <c r="AE14" i="68"/>
  <c r="AE47" i="68"/>
  <c r="AC48" i="68" s="1"/>
  <c r="AE48" i="68" s="1"/>
  <c r="AD47" i="68"/>
  <c r="AE41" i="68"/>
  <c r="AC42" i="68" s="1"/>
  <c r="AD41" i="68"/>
  <c r="AE76" i="68"/>
  <c r="AC77" i="68" s="1"/>
  <c r="AD76" i="68"/>
  <c r="AE98" i="68"/>
  <c r="AC99" i="68" s="1"/>
  <c r="AD98" i="68"/>
  <c r="AE72" i="68"/>
  <c r="AC73" i="68" s="1"/>
  <c r="AD72" i="68"/>
  <c r="AE43" i="68"/>
  <c r="AC44" i="68" s="1"/>
  <c r="AD43" i="68"/>
  <c r="AE81" i="68"/>
  <c r="AD81" i="68"/>
  <c r="AE82" i="68"/>
  <c r="AD82" i="68"/>
  <c r="AD83" i="68"/>
  <c r="AH83" i="68" s="1"/>
  <c r="AE83" i="68"/>
  <c r="AE69" i="68"/>
  <c r="AC70" i="68" s="1"/>
  <c r="AD69" i="68"/>
  <c r="AE64" i="68"/>
  <c r="AC65" i="68" s="1"/>
  <c r="AD64" i="68"/>
  <c r="AE33" i="68"/>
  <c r="AC34" i="68" s="1"/>
  <c r="AD33" i="68"/>
  <c r="AE94" i="68"/>
  <c r="AC95" i="68" s="1"/>
  <c r="AD94" i="68"/>
  <c r="AE92" i="68"/>
  <c r="AC93" i="68" s="1"/>
  <c r="AD93" i="68" s="1"/>
  <c r="AD92" i="68"/>
  <c r="AC13" i="68" l="1"/>
  <c r="AD13" i="68" s="1"/>
  <c r="AE93" i="68"/>
  <c r="AD48" i="68"/>
  <c r="AE65" i="68"/>
  <c r="AD65" i="68"/>
  <c r="AD70" i="68"/>
  <c r="AE70" i="68"/>
  <c r="AC71" i="68" s="1"/>
  <c r="AE44" i="68"/>
  <c r="AD44" i="68"/>
  <c r="AE39" i="68"/>
  <c r="AC40" i="68" s="1"/>
  <c r="AD39" i="68"/>
  <c r="AE32" i="68"/>
  <c r="AD32" i="68"/>
  <c r="AD99" i="68"/>
  <c r="AE99" i="68"/>
  <c r="AE34" i="68"/>
  <c r="AC35" i="68" s="1"/>
  <c r="AD34" i="68"/>
  <c r="AC16" i="68"/>
  <c r="AC15" i="68"/>
  <c r="AE95" i="68"/>
  <c r="AC96" i="68" s="1"/>
  <c r="AD95" i="68"/>
  <c r="AE73" i="68"/>
  <c r="AD73" i="68"/>
  <c r="AE77" i="68"/>
  <c r="AC78" i="68" s="1"/>
  <c r="AD77" i="68"/>
  <c r="AD42" i="68"/>
  <c r="AE42" i="68"/>
  <c r="AE13" i="68" l="1"/>
  <c r="AD78" i="68"/>
  <c r="AE78" i="68"/>
  <c r="AC79" i="68" s="1"/>
  <c r="AD96" i="68"/>
  <c r="AE96" i="68"/>
  <c r="AE15" i="68"/>
  <c r="AD15" i="68"/>
  <c r="AE16" i="68"/>
  <c r="AD16" i="68"/>
  <c r="AE35" i="68"/>
  <c r="AC36" i="68" s="1"/>
  <c r="AD35" i="68"/>
  <c r="AE71" i="68"/>
  <c r="AD71" i="68"/>
  <c r="AE40" i="68"/>
  <c r="AD40" i="68"/>
  <c r="AD36" i="68" l="1"/>
  <c r="AE36" i="68"/>
  <c r="AC37" i="68" s="1"/>
  <c r="AE79" i="68"/>
  <c r="AC80" i="68" s="1"/>
  <c r="AD79" i="68"/>
  <c r="AD37" i="68" l="1"/>
  <c r="AE37" i="68"/>
  <c r="AE80" i="68"/>
  <c r="AD80" i="68"/>
  <c r="C29" i="67" l="1"/>
  <c r="C29" i="66" l="1"/>
  <c r="C29" i="65" l="1"/>
  <c r="C29" i="64" l="1"/>
  <c r="C29" i="63" l="1"/>
  <c r="C29" i="62" l="1"/>
  <c r="C29" i="61" l="1"/>
  <c r="C29" i="60" l="1"/>
  <c r="C29" i="59" l="1"/>
  <c r="C29" i="57" l="1"/>
  <c r="C29" i="58" l="1"/>
  <c r="C29" i="55" l="1"/>
  <c r="C29" i="54" l="1"/>
  <c r="C29" i="53"/>
  <c r="F221" i="13" l="1"/>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K35" i="19" l="1"/>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AH12" i="18" l="1"/>
  <c r="AH20" i="18"/>
  <c r="V12" i="18"/>
  <c r="AB20" i="18"/>
  <c r="J20" i="18"/>
  <c r="P44" i="18"/>
  <c r="V28" i="18"/>
  <c r="J28" i="18"/>
  <c r="J44" i="18"/>
  <c r="AB12" i="18"/>
  <c r="AH44" i="18"/>
  <c r="P20" i="18"/>
  <c r="AB28" i="18"/>
  <c r="AB36" i="18"/>
  <c r="P28" i="18"/>
  <c r="P36" i="18"/>
  <c r="AH28" i="18"/>
  <c r="J12" i="18"/>
  <c r="AB44" i="18"/>
  <c r="V36" i="18"/>
  <c r="AH36" i="18"/>
  <c r="P12" i="18"/>
  <c r="V44" i="18"/>
  <c r="V20" i="18"/>
  <c r="J36" i="18"/>
  <c r="AF22" i="18"/>
  <c r="AF30" i="18"/>
  <c r="Z6" i="18"/>
  <c r="T14" i="18"/>
  <c r="N6" i="18"/>
  <c r="Z22" i="18"/>
  <c r="AL38" i="18"/>
  <c r="AF6" i="18"/>
  <c r="T30" i="18"/>
  <c r="AF14" i="18"/>
  <c r="N14" i="18"/>
  <c r="AF38" i="18"/>
  <c r="T38" i="18"/>
  <c r="N38" i="18"/>
  <c r="AL6" i="18"/>
  <c r="T22" i="18"/>
  <c r="AL30" i="18"/>
  <c r="Z14" i="18"/>
  <c r="Z30" i="18"/>
  <c r="AL14" i="18"/>
  <c r="AL22" i="18"/>
  <c r="Z38" i="18"/>
  <c r="N30" i="18"/>
  <c r="N22" i="18"/>
  <c r="T6" i="18"/>
  <c r="Z42" i="18"/>
  <c r="AF26" i="18"/>
  <c r="AF18" i="18"/>
  <c r="N34" i="18"/>
  <c r="T18" i="18"/>
  <c r="Z10" i="18"/>
  <c r="Z26" i="18"/>
  <c r="AF34" i="18"/>
  <c r="N18" i="18"/>
  <c r="AL34" i="18"/>
  <c r="AF10" i="18"/>
  <c r="AF42" i="18"/>
  <c r="T26" i="18"/>
  <c r="N42" i="18"/>
  <c r="N26" i="18"/>
  <c r="T10" i="18"/>
  <c r="T34" i="18"/>
  <c r="Z18" i="18"/>
  <c r="AL18" i="18"/>
  <c r="T42" i="18"/>
  <c r="AL10" i="18"/>
  <c r="N10" i="18"/>
  <c r="AL42" i="18"/>
  <c r="Z34" i="18"/>
  <c r="AL26" i="18"/>
  <c r="AB38" i="18"/>
  <c r="J6" i="18"/>
  <c r="AH30" i="18"/>
  <c r="AH14" i="18"/>
  <c r="J30" i="18"/>
  <c r="P30" i="18"/>
  <c r="J22" i="18"/>
  <c r="AH38" i="18"/>
  <c r="P38" i="18"/>
  <c r="AH22" i="18"/>
  <c r="V38" i="18"/>
  <c r="J14" i="18"/>
  <c r="AB6" i="18"/>
  <c r="P6" i="18"/>
  <c r="P14" i="18"/>
  <c r="AB22" i="18"/>
  <c r="J38" i="18"/>
  <c r="P22" i="18"/>
  <c r="V22" i="18"/>
  <c r="V30" i="18"/>
  <c r="AH6" i="18"/>
  <c r="AB30" i="18"/>
  <c r="V14" i="18"/>
  <c r="AB14" i="18"/>
  <c r="V6" i="18"/>
  <c r="P18" i="19" l="1"/>
  <c r="P38" i="19"/>
  <c r="J28" i="19"/>
  <c r="AH38" i="19"/>
  <c r="J48" i="19"/>
  <c r="P48" i="19"/>
  <c r="V28" i="19"/>
  <c r="AB18" i="19"/>
  <c r="AB8" i="19"/>
  <c r="J8" i="19"/>
  <c r="P28" i="19"/>
  <c r="J18" i="19"/>
  <c r="AH8" i="19"/>
  <c r="AB28" i="19"/>
  <c r="AB48" i="19"/>
  <c r="V38" i="19"/>
  <c r="V8" i="19"/>
  <c r="AH28" i="19"/>
  <c r="AH48" i="19"/>
  <c r="AB38" i="19"/>
  <c r="AH18" i="19"/>
  <c r="V48" i="19"/>
  <c r="V18" i="19"/>
  <c r="P8" i="19"/>
  <c r="J38" i="19"/>
  <c r="V25" i="19"/>
  <c r="P45" i="19"/>
  <c r="AH15" i="19"/>
  <c r="J45" i="19"/>
  <c r="V45" i="19"/>
  <c r="V15" i="19"/>
  <c r="V35" i="19"/>
  <c r="P25" i="19"/>
  <c r="J15" i="19"/>
  <c r="J35" i="19"/>
  <c r="J55" i="19"/>
  <c r="P35" i="19"/>
  <c r="AB45" i="19"/>
  <c r="AH25" i="19"/>
  <c r="AH45" i="19"/>
  <c r="AB55" i="19"/>
  <c r="AH35" i="19"/>
  <c r="AH55" i="19"/>
  <c r="J25" i="19"/>
  <c r="V55" i="19"/>
  <c r="AB15" i="19"/>
  <c r="AB35" i="19"/>
  <c r="AB25" i="19"/>
  <c r="P55" i="19"/>
  <c r="P15" i="19"/>
  <c r="P16" i="19" l="1"/>
  <c r="AH36" i="19"/>
  <c r="AC18" i="19"/>
  <c r="W38" i="19"/>
  <c r="AC8" i="19"/>
  <c r="AI28" i="19"/>
  <c r="W18" i="19"/>
  <c r="K38" i="19"/>
  <c r="AI8" i="19"/>
  <c r="W48" i="19"/>
  <c r="Q48" i="19"/>
  <c r="Q38" i="19"/>
  <c r="AC38" i="19"/>
  <c r="AI38" i="19"/>
  <c r="Q28" i="19"/>
  <c r="W28" i="19"/>
  <c r="K18" i="19"/>
  <c r="AI48" i="19"/>
  <c r="K8" i="19"/>
  <c r="W8" i="19"/>
  <c r="AC28" i="19"/>
  <c r="Q8" i="19"/>
  <c r="AI18" i="19"/>
  <c r="K48" i="19"/>
  <c r="K28" i="19"/>
  <c r="AC48" i="19"/>
  <c r="Q18" i="19"/>
  <c r="AH26" i="19"/>
  <c r="J16" i="19"/>
  <c r="AB16" i="19"/>
  <c r="P26" i="19"/>
  <c r="J46" i="19"/>
  <c r="V6" i="19"/>
  <c r="J26" i="19"/>
  <c r="AH16" i="19"/>
  <c r="AH6" i="19"/>
  <c r="P6" i="19"/>
  <c r="AB36" i="19"/>
  <c r="AB46" i="19"/>
  <c r="V36" i="19"/>
  <c r="AH46" i="19"/>
  <c r="V16" i="19"/>
  <c r="V46" i="19"/>
  <c r="J36" i="19"/>
  <c r="AB26" i="19"/>
  <c r="P36" i="19"/>
  <c r="P46" i="19"/>
  <c r="AB6" i="19"/>
  <c r="J6" i="19"/>
  <c r="V26" i="19"/>
  <c r="K46" i="19" l="1"/>
  <c r="AI36" i="19"/>
  <c r="AC46" i="19"/>
  <c r="AC26" i="19"/>
  <c r="AC6" i="19"/>
  <c r="AC36" i="19"/>
  <c r="AI46" i="19"/>
  <c r="AC16" i="19"/>
  <c r="Q46" i="19"/>
  <c r="AI26" i="19"/>
  <c r="K16" i="19"/>
  <c r="W36" i="19"/>
  <c r="W26" i="19"/>
  <c r="W6" i="19"/>
  <c r="Q36" i="19"/>
  <c r="AI16" i="19"/>
  <c r="AI6" i="19"/>
  <c r="W46" i="19"/>
  <c r="K26" i="19"/>
  <c r="Q26" i="19"/>
  <c r="K36" i="19"/>
  <c r="W16" i="19"/>
  <c r="Q16" i="19"/>
  <c r="K6" i="19"/>
  <c r="Q6" i="19"/>
  <c r="X16" i="19" l="1"/>
  <c r="R36" i="19"/>
  <c r="AD36" i="19"/>
  <c r="AD16" i="19"/>
  <c r="AJ36" i="19"/>
  <c r="L26" i="19"/>
  <c r="AD46" i="19"/>
  <c r="R6" i="19"/>
  <c r="AJ46" i="19"/>
  <c r="AJ26" i="19"/>
  <c r="X36" i="19"/>
  <c r="R46" i="19"/>
  <c r="R26" i="19"/>
  <c r="R16" i="19"/>
  <c r="L46" i="19"/>
  <c r="AD26" i="19"/>
  <c r="X46" i="19"/>
  <c r="AD6" i="19"/>
  <c r="AJ16" i="19"/>
  <c r="L36" i="19"/>
  <c r="X6" i="19"/>
  <c r="AJ6" i="19"/>
  <c r="L16" i="19"/>
  <c r="X26" i="19"/>
  <c r="L6" i="19"/>
  <c r="AK46" i="19"/>
  <c r="AK16" i="19"/>
  <c r="M16" i="19"/>
  <c r="Y6" i="19"/>
  <c r="M46" i="19"/>
  <c r="S6" i="19"/>
  <c r="AE16" i="19"/>
  <c r="AK26" i="19"/>
  <c r="AE46" i="19"/>
  <c r="S36" i="19"/>
  <c r="M26" i="19"/>
  <c r="Y46" i="19"/>
  <c r="AK36" i="19"/>
  <c r="Y26" i="19"/>
  <c r="AE36" i="19"/>
  <c r="M36" i="19"/>
  <c r="S46" i="19"/>
  <c r="S26" i="19"/>
  <c r="AK6" i="19"/>
  <c r="Y16" i="19"/>
  <c r="M6" i="19"/>
  <c r="AE26" i="19"/>
  <c r="S16" i="19"/>
  <c r="AE6" i="19"/>
  <c r="Y36" i="19"/>
  <c r="O100" i="68" s="1"/>
  <c r="O98" i="68" l="1"/>
  <c r="P98" i="68" s="1"/>
  <c r="O81" i="68"/>
  <c r="P81" i="68" s="1"/>
  <c r="O75" i="68"/>
  <c r="O64" i="68"/>
  <c r="P64" i="68" s="1"/>
  <c r="O43" i="68"/>
  <c r="P43" i="68" s="1"/>
  <c r="O31" i="68"/>
  <c r="P31" i="68" s="1"/>
  <c r="O82" i="68"/>
  <c r="P82" i="68" s="1"/>
  <c r="O69" i="68"/>
  <c r="P69" i="68" s="1"/>
  <c r="O84" i="68"/>
  <c r="P84" i="68" s="1"/>
  <c r="O94" i="68"/>
  <c r="P94" i="68" s="1"/>
  <c r="O38" i="68"/>
  <c r="P38" i="68" s="1"/>
  <c r="O76" i="68"/>
  <c r="P76" i="68" s="1"/>
  <c r="O83" i="68"/>
  <c r="O68" i="68"/>
  <c r="P68" i="68" s="1"/>
  <c r="O72" i="68"/>
  <c r="P72" i="68" s="1"/>
  <c r="O45" i="68"/>
  <c r="P45" i="68" s="1"/>
  <c r="O92" i="68"/>
  <c r="P92" i="68" s="1"/>
  <c r="O41" i="68"/>
  <c r="P41" i="68" s="1"/>
  <c r="O33" i="68"/>
  <c r="P33" i="68" s="1"/>
  <c r="O11" i="68"/>
  <c r="P11" i="68" s="1"/>
  <c r="O14" i="68"/>
  <c r="P14" i="68" s="1"/>
  <c r="Q14" i="68" l="1"/>
  <c r="R14" i="68"/>
  <c r="Q92" i="68"/>
  <c r="AG92" i="68" s="1"/>
  <c r="AF92" i="68" s="1"/>
  <c r="AH92" i="68" s="1"/>
  <c r="R92" i="68"/>
  <c r="Q72" i="68"/>
  <c r="AG72" i="68" s="1"/>
  <c r="AF72" i="68" s="1"/>
  <c r="R72" i="68"/>
  <c r="Q64" i="68"/>
  <c r="AG64" i="68" s="1"/>
  <c r="AF64" i="68" s="1"/>
  <c r="R64" i="68"/>
  <c r="R11" i="68"/>
  <c r="Q11" i="68"/>
  <c r="AG11" i="68" s="1"/>
  <c r="AF11" i="68" s="1"/>
  <c r="AH11" i="68" s="1"/>
  <c r="Q45" i="68"/>
  <c r="AG45" i="68" s="1"/>
  <c r="AF45" i="68" s="1"/>
  <c r="R45" i="68"/>
  <c r="Q38" i="68"/>
  <c r="AG38" i="68" s="1"/>
  <c r="AF38" i="68" s="1"/>
  <c r="R38" i="68"/>
  <c r="Q94" i="68"/>
  <c r="AG94" i="68" s="1"/>
  <c r="AF94" i="68" s="1"/>
  <c r="AH94" i="68" s="1"/>
  <c r="R94" i="68"/>
  <c r="Q84" i="68"/>
  <c r="AG84" i="68" s="1"/>
  <c r="R84" i="68"/>
  <c r="Q31" i="68"/>
  <c r="AG31" i="68" s="1"/>
  <c r="AF31" i="68" s="1"/>
  <c r="R31" i="68"/>
  <c r="Q33" i="68"/>
  <c r="AG33" i="68" s="1"/>
  <c r="AF33" i="68" s="1"/>
  <c r="R33" i="68"/>
  <c r="Q68" i="68"/>
  <c r="AG68" i="68" s="1"/>
  <c r="R68" i="68"/>
  <c r="Q69" i="68"/>
  <c r="AG69" i="68" s="1"/>
  <c r="AF69" i="68" s="1"/>
  <c r="R69" i="68"/>
  <c r="Q43" i="68"/>
  <c r="AG43" i="68" s="1"/>
  <c r="AF43" i="68" s="1"/>
  <c r="R43" i="68"/>
  <c r="Q81" i="68"/>
  <c r="AG81" i="68" s="1"/>
  <c r="R81" i="68"/>
  <c r="R41" i="68"/>
  <c r="Q41" i="68"/>
  <c r="Q76" i="68"/>
  <c r="AG76" i="68" s="1"/>
  <c r="AF76" i="68" s="1"/>
  <c r="R76" i="68"/>
  <c r="Q82" i="68"/>
  <c r="R82" i="68"/>
  <c r="Q98" i="68"/>
  <c r="AG98" i="68" s="1"/>
  <c r="AF98" i="68" s="1"/>
  <c r="AH98" i="68" s="1"/>
  <c r="R98" i="68"/>
  <c r="AD38" i="18"/>
  <c r="AJ30" i="18"/>
  <c r="L6" i="18"/>
  <c r="X22" i="18"/>
  <c r="AD30" i="18"/>
  <c r="AD22" i="18"/>
  <c r="R38" i="18"/>
  <c r="R14" i="18"/>
  <c r="X6" i="18"/>
  <c r="L14" i="18"/>
  <c r="AJ22" i="18"/>
  <c r="L38" i="18"/>
  <c r="R6" i="18"/>
  <c r="X38" i="18"/>
  <c r="L30" i="18"/>
  <c r="R22" i="18"/>
  <c r="R30" i="18"/>
  <c r="X14" i="18"/>
  <c r="L22" i="18"/>
  <c r="AJ14" i="18"/>
  <c r="AJ6" i="18"/>
  <c r="AJ38" i="18"/>
  <c r="X30" i="18"/>
  <c r="AD14" i="18"/>
  <c r="AD6" i="18"/>
  <c r="AH16" i="18"/>
  <c r="AH8" i="18"/>
  <c r="AB40" i="18"/>
  <c r="AB24" i="18"/>
  <c r="AH40" i="18"/>
  <c r="AB32" i="18"/>
  <c r="P32" i="18"/>
  <c r="P40" i="18"/>
  <c r="J24" i="18"/>
  <c r="J16" i="18"/>
  <c r="V16" i="18"/>
  <c r="V8" i="18"/>
  <c r="J32" i="18"/>
  <c r="J8" i="18"/>
  <c r="J40" i="18"/>
  <c r="AH32" i="18"/>
  <c r="AB16" i="18"/>
  <c r="V24" i="18"/>
  <c r="AB8" i="18"/>
  <c r="P24" i="18"/>
  <c r="P16" i="18"/>
  <c r="V32" i="18"/>
  <c r="AH24" i="18"/>
  <c r="P8" i="18"/>
  <c r="V40" i="18"/>
  <c r="R24" i="18"/>
  <c r="X32" i="18"/>
  <c r="R16" i="18"/>
  <c r="AD8" i="18"/>
  <c r="AJ8" i="18"/>
  <c r="AD16" i="18"/>
  <c r="L24" i="18"/>
  <c r="L40" i="18"/>
  <c r="R32" i="18"/>
  <c r="R8" i="18"/>
  <c r="AD32" i="18"/>
  <c r="X8" i="18"/>
  <c r="L16" i="18"/>
  <c r="L8" i="18"/>
  <c r="AJ40" i="18"/>
  <c r="AD40" i="18"/>
  <c r="AD24" i="18"/>
  <c r="AJ32" i="18"/>
  <c r="X40" i="18"/>
  <c r="AJ24" i="18"/>
  <c r="X24" i="18"/>
  <c r="R40" i="18"/>
  <c r="X16" i="18"/>
  <c r="AJ16" i="18"/>
  <c r="L32" i="18"/>
  <c r="AD34" i="18"/>
  <c r="R42" i="18"/>
  <c r="AJ18" i="18"/>
  <c r="R34" i="18"/>
  <c r="AJ42" i="18"/>
  <c r="L42" i="18"/>
  <c r="AJ10" i="18"/>
  <c r="X10" i="18"/>
  <c r="L10" i="18"/>
  <c r="X18" i="18"/>
  <c r="X34" i="18"/>
  <c r="AJ26" i="18"/>
  <c r="AD26" i="18"/>
  <c r="R26" i="18"/>
  <c r="L18" i="18"/>
  <c r="X42" i="18"/>
  <c r="AD10" i="18"/>
  <c r="X26" i="18"/>
  <c r="R10" i="18"/>
  <c r="R18" i="18"/>
  <c r="AD42" i="18"/>
  <c r="AD18" i="18"/>
  <c r="L34" i="18"/>
  <c r="L26" i="18"/>
  <c r="AJ34" i="18"/>
  <c r="J26" i="18"/>
  <c r="P18" i="18"/>
  <c r="AB26" i="18"/>
  <c r="V26" i="18"/>
  <c r="P10" i="18"/>
  <c r="AB34" i="18"/>
  <c r="J42" i="18"/>
  <c r="V42" i="18"/>
  <c r="V10" i="18"/>
  <c r="J18" i="18"/>
  <c r="P42" i="18"/>
  <c r="AB18" i="18"/>
  <c r="AH18" i="18"/>
  <c r="J34" i="18"/>
  <c r="P34" i="18"/>
  <c r="V34" i="18"/>
  <c r="J10" i="18"/>
  <c r="AH10" i="18"/>
  <c r="AH42" i="18"/>
  <c r="AH26" i="18"/>
  <c r="AH34" i="18"/>
  <c r="AB42" i="18"/>
  <c r="P26" i="18"/>
  <c r="AB10" i="18"/>
  <c r="V18" i="18"/>
  <c r="AL8" i="18"/>
  <c r="AL40" i="18"/>
  <c r="AF32" i="18"/>
  <c r="Z24" i="18"/>
  <c r="Z32" i="18"/>
  <c r="N16" i="18"/>
  <c r="Z16" i="18"/>
  <c r="T16" i="18"/>
  <c r="AL32" i="18"/>
  <c r="T8" i="18"/>
  <c r="T40" i="18"/>
  <c r="N8" i="18"/>
  <c r="T24" i="18"/>
  <c r="AF40" i="18"/>
  <c r="AL16" i="18"/>
  <c r="Z40" i="18"/>
  <c r="AF8" i="18"/>
  <c r="AF16" i="18"/>
  <c r="AF24" i="18"/>
  <c r="T32" i="18"/>
  <c r="N32" i="18"/>
  <c r="Z8" i="18"/>
  <c r="AL24" i="18"/>
  <c r="N40" i="18"/>
  <c r="N24" i="18"/>
  <c r="AF68" i="68" l="1"/>
  <c r="AH68" i="68" s="1"/>
  <c r="AF81" i="68"/>
  <c r="AH81" i="68" s="1"/>
  <c r="AF84" i="68"/>
  <c r="AH84" i="68" s="1"/>
  <c r="AG82" i="68"/>
  <c r="AG93" i="68"/>
  <c r="AF93" i="68" s="1"/>
  <c r="AH93" i="68" s="1"/>
  <c r="AH64" i="68"/>
  <c r="AG65" i="68"/>
  <c r="AH69" i="68"/>
  <c r="AG70" i="68"/>
  <c r="AF70" i="68" s="1"/>
  <c r="AH31" i="68"/>
  <c r="AG32" i="68"/>
  <c r="AG95" i="68"/>
  <c r="AF95" i="68" s="1"/>
  <c r="AH95" i="68" s="1"/>
  <c r="AH38" i="68"/>
  <c r="AG39" i="68"/>
  <c r="AF39" i="68" s="1"/>
  <c r="AH45" i="68"/>
  <c r="AG46" i="68"/>
  <c r="AF46" i="68" s="1"/>
  <c r="AH72" i="68"/>
  <c r="AG73" i="68"/>
  <c r="AG42" i="68"/>
  <c r="AG41" i="68"/>
  <c r="AG99" i="68"/>
  <c r="AF99" i="68" s="1"/>
  <c r="AH99" i="68" s="1"/>
  <c r="AH76" i="68"/>
  <c r="AG77" i="68"/>
  <c r="AF77" i="68" s="1"/>
  <c r="AH43" i="68"/>
  <c r="AG44" i="68"/>
  <c r="AH33" i="68"/>
  <c r="AG34" i="68"/>
  <c r="AF34" i="68" s="1"/>
  <c r="AG14" i="68"/>
  <c r="AG15" i="68"/>
  <c r="AF15" i="68" s="1"/>
  <c r="AH33" i="19"/>
  <c r="AH23" i="19"/>
  <c r="J53" i="19"/>
  <c r="AB13" i="19"/>
  <c r="AB53" i="19"/>
  <c r="V43" i="19"/>
  <c r="V53" i="19"/>
  <c r="P43" i="19"/>
  <c r="V23" i="19"/>
  <c r="P23" i="19"/>
  <c r="V33" i="19"/>
  <c r="AB33" i="19"/>
  <c r="J43" i="19"/>
  <c r="P53" i="19"/>
  <c r="P33" i="19"/>
  <c r="AB43" i="19"/>
  <c r="AH13" i="19"/>
  <c r="J33" i="19"/>
  <c r="AH43" i="19"/>
  <c r="J23" i="19"/>
  <c r="P13" i="19"/>
  <c r="AB23" i="19"/>
  <c r="AH53" i="19"/>
  <c r="V13" i="19"/>
  <c r="J13" i="19"/>
  <c r="J32" i="19"/>
  <c r="AB32" i="19"/>
  <c r="P12" i="19"/>
  <c r="J12" i="19"/>
  <c r="V52" i="19"/>
  <c r="P22" i="19"/>
  <c r="J22" i="19"/>
  <c r="V32" i="19"/>
  <c r="AB12" i="19"/>
  <c r="J42" i="19"/>
  <c r="AB22" i="19"/>
  <c r="AB52" i="19"/>
  <c r="V42" i="19"/>
  <c r="AH32" i="19"/>
  <c r="AH52" i="19"/>
  <c r="J52" i="19"/>
  <c r="P52" i="19"/>
  <c r="V12" i="19"/>
  <c r="AH12" i="19"/>
  <c r="AH42" i="19"/>
  <c r="P32" i="19"/>
  <c r="P42" i="19"/>
  <c r="AH22" i="19"/>
  <c r="AB42" i="19"/>
  <c r="V22" i="19"/>
  <c r="V21" i="19"/>
  <c r="AH51" i="19"/>
  <c r="J31" i="19"/>
  <c r="J21" i="19"/>
  <c r="P31" i="19"/>
  <c r="P41" i="19"/>
  <c r="V41" i="19"/>
  <c r="AH41" i="19"/>
  <c r="P21" i="19"/>
  <c r="P51" i="19"/>
  <c r="AB21" i="19"/>
  <c r="AB51" i="19"/>
  <c r="AB11" i="19"/>
  <c r="J51" i="19"/>
  <c r="AH21" i="19"/>
  <c r="V51" i="19"/>
  <c r="P11" i="19"/>
  <c r="AH11" i="19"/>
  <c r="AB41" i="19"/>
  <c r="AB31" i="19"/>
  <c r="AH31" i="19"/>
  <c r="J41" i="19"/>
  <c r="V31" i="19"/>
  <c r="V11" i="19"/>
  <c r="J11" i="19"/>
  <c r="P50" i="19"/>
  <c r="AB20" i="19"/>
  <c r="J20" i="19"/>
  <c r="P20" i="19"/>
  <c r="J30" i="19"/>
  <c r="J10" i="19"/>
  <c r="V10" i="19"/>
  <c r="AB30" i="19"/>
  <c r="AB50" i="19"/>
  <c r="V20" i="19"/>
  <c r="AB10" i="19"/>
  <c r="V40" i="19"/>
  <c r="AH20" i="19"/>
  <c r="V50" i="19"/>
  <c r="AB40" i="19"/>
  <c r="J50" i="19"/>
  <c r="V30" i="19"/>
  <c r="P10" i="19"/>
  <c r="AH40" i="19"/>
  <c r="AH30" i="19"/>
  <c r="J40" i="19"/>
  <c r="AH10" i="19"/>
  <c r="P30" i="19"/>
  <c r="P40" i="19"/>
  <c r="AH50" i="19"/>
  <c r="AF44" i="68" l="1"/>
  <c r="AH44" i="68" s="1"/>
  <c r="AF82" i="68"/>
  <c r="AH82" i="68" s="1"/>
  <c r="AF14" i="68"/>
  <c r="AH14" i="68" s="1"/>
  <c r="AF41" i="68"/>
  <c r="AH41" i="68" s="1"/>
  <c r="AF42" i="68"/>
  <c r="AH42" i="68" s="1"/>
  <c r="AF32" i="68"/>
  <c r="AH32" i="68" s="1"/>
  <c r="AF65" i="68"/>
  <c r="AH65" i="68" s="1"/>
  <c r="AF73" i="68"/>
  <c r="AH73" i="68" s="1"/>
  <c r="AH46" i="68"/>
  <c r="AG47" i="68"/>
  <c r="AF47" i="68" s="1"/>
  <c r="AH15" i="68"/>
  <c r="AG16" i="68"/>
  <c r="AH34" i="68"/>
  <c r="AG35" i="68"/>
  <c r="AF35" i="68" s="1"/>
  <c r="AG96" i="68"/>
  <c r="AF96" i="68" s="1"/>
  <c r="AH96" i="68" s="1"/>
  <c r="AH70" i="68"/>
  <c r="AG71" i="68"/>
  <c r="AH77" i="68"/>
  <c r="AG78" i="68"/>
  <c r="AF78" i="68" s="1"/>
  <c r="AH39" i="68"/>
  <c r="AG40" i="68"/>
  <c r="AG13" i="68"/>
  <c r="AH7" i="19"/>
  <c r="J47" i="19"/>
  <c r="P47" i="19"/>
  <c r="AB37" i="19"/>
  <c r="P7" i="19"/>
  <c r="J7" i="19"/>
  <c r="J17" i="19"/>
  <c r="V17" i="19"/>
  <c r="AH37" i="19"/>
  <c r="V27" i="19"/>
  <c r="P17" i="19"/>
  <c r="AB27" i="19"/>
  <c r="AH17" i="19"/>
  <c r="AH27" i="19"/>
  <c r="AB47" i="19"/>
  <c r="P37" i="19"/>
  <c r="V37" i="19"/>
  <c r="AB7" i="19"/>
  <c r="AB17" i="19"/>
  <c r="AH47" i="19"/>
  <c r="J27" i="19"/>
  <c r="J37" i="19"/>
  <c r="V7" i="19"/>
  <c r="P27" i="19"/>
  <c r="V47" i="19"/>
  <c r="AH19" i="19"/>
  <c r="AH9" i="19"/>
  <c r="AB19" i="19"/>
  <c r="AH49" i="19"/>
  <c r="J49" i="19"/>
  <c r="P9" i="19"/>
  <c r="V39" i="19"/>
  <c r="J9" i="19"/>
  <c r="P29" i="19"/>
  <c r="AB39" i="19"/>
  <c r="J19" i="19"/>
  <c r="P39" i="19"/>
  <c r="V19" i="19"/>
  <c r="AB9" i="19"/>
  <c r="AB29" i="19"/>
  <c r="V9" i="19"/>
  <c r="J29" i="19"/>
  <c r="V49" i="19"/>
  <c r="V29" i="19"/>
  <c r="AB49" i="19"/>
  <c r="AH29" i="19"/>
  <c r="P49" i="19"/>
  <c r="P19" i="19"/>
  <c r="J39" i="19"/>
  <c r="AH39" i="19"/>
  <c r="AC39" i="19"/>
  <c r="Q9" i="19"/>
  <c r="W39" i="19"/>
  <c r="K39" i="19"/>
  <c r="AC19" i="19"/>
  <c r="W29" i="19"/>
  <c r="AC29" i="19"/>
  <c r="W9" i="19"/>
  <c r="AI9" i="19"/>
  <c r="Q49" i="19"/>
  <c r="AC9" i="19"/>
  <c r="K9" i="19"/>
  <c r="Q29" i="19"/>
  <c r="Q39" i="19"/>
  <c r="AC49" i="19"/>
  <c r="W19" i="19"/>
  <c r="K29" i="19"/>
  <c r="K49" i="19"/>
  <c r="AI19" i="19"/>
  <c r="K19" i="19"/>
  <c r="W49" i="19"/>
  <c r="Q19" i="19"/>
  <c r="AI29" i="19"/>
  <c r="AI39" i="19"/>
  <c r="AI49" i="19"/>
  <c r="AF40" i="68" l="1"/>
  <c r="AH40" i="68" s="1"/>
  <c r="AF16" i="68"/>
  <c r="AH16" i="68" s="1"/>
  <c r="AF71" i="68"/>
  <c r="AH71" i="68" s="1"/>
  <c r="AF13" i="68"/>
  <c r="AH13" i="68" s="1"/>
  <c r="AH35" i="68"/>
  <c r="AG36" i="68"/>
  <c r="AF36" i="68" s="1"/>
  <c r="AH47" i="68"/>
  <c r="AG48" i="68"/>
  <c r="AH78" i="68"/>
  <c r="AG79" i="68"/>
  <c r="AF79" i="68" s="1"/>
  <c r="L37" i="19"/>
  <c r="AD47" i="19"/>
  <c r="R27" i="19"/>
  <c r="AD37" i="19"/>
  <c r="X47" i="19"/>
  <c r="AJ37" i="19"/>
  <c r="AJ47" i="19"/>
  <c r="X27" i="19"/>
  <c r="R17" i="19"/>
  <c r="AJ27" i="19"/>
  <c r="X17" i="19"/>
  <c r="X37" i="19"/>
  <c r="L47" i="19"/>
  <c r="L7" i="19"/>
  <c r="L27" i="19"/>
  <c r="X7" i="19"/>
  <c r="R7" i="19"/>
  <c r="AJ17" i="19"/>
  <c r="R47" i="19"/>
  <c r="AJ7" i="19"/>
  <c r="AD7" i="19"/>
  <c r="AD27" i="19"/>
  <c r="R37" i="19"/>
  <c r="L17" i="19"/>
  <c r="AD17" i="19"/>
  <c r="AC27" i="19"/>
  <c r="K17" i="19"/>
  <c r="Q27" i="19"/>
  <c r="W27" i="19"/>
  <c r="W17" i="19"/>
  <c r="AC7" i="19"/>
  <c r="AC17" i="19"/>
  <c r="Q47" i="19"/>
  <c r="Q37" i="19"/>
  <c r="AI27" i="19"/>
  <c r="Q17" i="19"/>
  <c r="AI7" i="19"/>
  <c r="AC37" i="19"/>
  <c r="AI17" i="19"/>
  <c r="AC47" i="19"/>
  <c r="AI37" i="19"/>
  <c r="K27" i="19"/>
  <c r="K37" i="19"/>
  <c r="W37" i="19"/>
  <c r="W47" i="19"/>
  <c r="W7" i="19"/>
  <c r="K7" i="19"/>
  <c r="AI47" i="19"/>
  <c r="K47" i="19"/>
  <c r="Q7" i="19"/>
  <c r="AH48" i="68" l="1"/>
  <c r="AF48" i="68"/>
  <c r="AH36" i="68"/>
  <c r="AG37" i="68"/>
  <c r="AH79" i="68"/>
  <c r="AG80" i="68"/>
  <c r="AF37" i="68" l="1"/>
  <c r="AH37" i="68" s="1"/>
  <c r="AF80" i="68"/>
  <c r="AH80" i="6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F3" authorId="0" shapeId="0" xr:uid="{00000000-0006-0000-0300-000001000000}">
      <text>
        <r>
          <rPr>
            <b/>
            <sz val="9"/>
            <color indexed="81"/>
            <rFont val="Tahoma"/>
            <family val="2"/>
          </rPr>
          <t>Usuario:</t>
        </r>
        <r>
          <rPr>
            <sz val="9"/>
            <color indexed="81"/>
            <rFont val="Tahoma"/>
            <family val="2"/>
          </rPr>
          <t xml:space="preserve">
INCLUIR EL FACTOR RELACIONADO CON CADA CAUSA</t>
        </r>
      </text>
    </comment>
    <comment ref="H3" authorId="0" shapeId="0" xr:uid="{00000000-0006-0000-03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ó sobre recursos públicos ó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J3" authorId="0" shapeId="0" xr:uid="{00000000-0006-0000-03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K3" authorId="1" shapeId="0" xr:uid="{00000000-0006-0000-0300-000004000000}">
      <text>
        <r>
          <rPr>
            <sz val="9"/>
            <color indexed="81"/>
            <rFont val="Arial Narrow"/>
            <family val="2"/>
          </rPr>
          <t>Número de veces que se ejecuta la actividad durante el año</t>
        </r>
        <r>
          <rPr>
            <sz val="9"/>
            <color indexed="81"/>
            <rFont val="Tahoma"/>
            <family val="2"/>
          </rPr>
          <t xml:space="preserve">
</t>
        </r>
      </text>
    </comment>
    <comment ref="T3" authorId="0" shapeId="0" xr:uid="{00000000-0006-0000-03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F5" authorId="0" shapeId="0" xr:uid="{00000000-0006-0000-0300-000006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G5" authorId="0" shapeId="0" xr:uid="{00000000-0006-0000-0300-000007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E3" authorId="0" shapeId="0" xr:uid="{00000000-0006-0000-0600-000001000000}">
      <text>
        <r>
          <rPr>
            <b/>
            <sz val="9"/>
            <color indexed="81"/>
            <rFont val="Tahoma"/>
            <family val="2"/>
          </rPr>
          <t>Usuario:</t>
        </r>
        <r>
          <rPr>
            <sz val="9"/>
            <color indexed="81"/>
            <rFont val="Tahoma"/>
            <family val="2"/>
          </rPr>
          <t xml:space="preserve">
INCLUIR EL FACTOR RELACIONADO CON CADA CAUSA</t>
        </r>
      </text>
    </comment>
    <comment ref="G3" authorId="0" shapeId="0" xr:uid="{00000000-0006-0000-06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o sobre recursos públicos o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I3" authorId="0" shapeId="0" xr:uid="{00000000-0006-0000-06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J3" authorId="1" shapeId="0" xr:uid="{00000000-0006-0000-0600-000004000000}">
      <text>
        <r>
          <rPr>
            <sz val="9"/>
            <color indexed="81"/>
            <rFont val="Arial Narrow"/>
            <family val="2"/>
          </rPr>
          <t>Número de veces que se ejecuta la actividad durante el año</t>
        </r>
        <r>
          <rPr>
            <sz val="9"/>
            <color indexed="81"/>
            <rFont val="Tahoma"/>
            <family val="2"/>
          </rPr>
          <t xml:space="preserve">
</t>
        </r>
      </text>
    </comment>
    <comment ref="R3" authorId="0" shapeId="0" xr:uid="{00000000-0006-0000-06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AM3" authorId="0" shapeId="0" xr:uid="{00000000-0006-0000-0600-000006000000}">
      <text>
        <r>
          <rPr>
            <b/>
            <sz val="9"/>
            <color indexed="81"/>
            <rFont val="Tahoma"/>
            <family val="2"/>
          </rPr>
          <t>Usuario:</t>
        </r>
        <r>
          <rPr>
            <sz val="9"/>
            <color indexed="81"/>
            <rFont val="Tahoma"/>
            <family val="2"/>
          </rPr>
          <t xml:space="preserve">
(es un pequeño resumen de la gestión realizada sobre el control, en el periodo a reportar)</t>
        </r>
      </text>
    </comment>
    <comment ref="AO3" authorId="0" shapeId="0" xr:uid="{00000000-0006-0000-0600-000007000000}">
      <text>
        <r>
          <rPr>
            <b/>
            <sz val="9"/>
            <color indexed="81"/>
            <rFont val="Tahoma"/>
            <family val="2"/>
          </rPr>
          <t>Usuario:</t>
        </r>
        <r>
          <rPr>
            <sz val="9"/>
            <color indexed="81"/>
            <rFont val="Tahoma"/>
            <family val="2"/>
          </rPr>
          <t xml:space="preserve">
Responder SI ó NO</t>
        </r>
      </text>
    </comment>
    <comment ref="E5" authorId="0" shapeId="0" xr:uid="{00000000-0006-0000-0600-000008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F5" authorId="0" shapeId="0" xr:uid="{00000000-0006-0000-0600-000009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 ref="J7" authorId="0" shapeId="0" xr:uid="{00000000-0006-0000-0600-00000A000000}">
      <text>
        <r>
          <rPr>
            <b/>
            <sz val="9"/>
            <color indexed="81"/>
            <rFont val="Tahoma"/>
            <family val="2"/>
          </rPr>
          <t>Usuario:</t>
        </r>
        <r>
          <rPr>
            <sz val="9"/>
            <color indexed="81"/>
            <rFont val="Tahoma"/>
            <family val="2"/>
          </rPr>
          <t xml:space="preserve">
FAVOR REVISAR ESTE VALOR</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7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7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8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8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9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9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A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A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B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B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C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C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D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D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E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E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F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F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0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0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1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1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2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2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3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3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4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4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5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5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16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16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<sst xmlns="http://schemas.openxmlformats.org/spreadsheetml/2006/main" count="3760" uniqueCount="1102">
  <si>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</si>
  <si>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</si>
  <si>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</si>
  <si>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</si>
  <si>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</si>
  <si>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</si>
  <si>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</si>
  <si>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</si>
  <si>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</si>
  <si>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</si>
  <si>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</si>
  <si>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</si>
  <si>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</si>
  <si>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</si>
  <si>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</si>
  <si>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</si>
  <si>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</si>
  <si>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</si>
  <si>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</si>
  <si>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</si>
  <si>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</si>
  <si>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</si>
  <si>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</si>
  <si>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</si>
  <si>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Calificación</t>
  </si>
  <si>
    <t>Tratamiento</t>
  </si>
  <si>
    <t>Reducir</t>
  </si>
  <si>
    <t>Aceptar</t>
  </si>
  <si>
    <t>Evitar</t>
  </si>
  <si>
    <t>Estado</t>
  </si>
  <si>
    <t>Finalizado</t>
  </si>
  <si>
    <t>En curso</t>
  </si>
  <si>
    <t>Causa Raíz</t>
  </si>
  <si>
    <t>Probabilidad Residual Final</t>
  </si>
  <si>
    <t>Impacto Residual Final</t>
  </si>
  <si>
    <t>Zona de Riesgo Inherente</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</si>
  <si>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</si>
  <si>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</si>
  <si>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</si>
  <si>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</si>
  <si>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</si>
  <si>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</si>
  <si>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</si>
  <si>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</si>
  <si>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</si>
  <si>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</si>
  <si>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</si>
  <si>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</si>
  <si>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</si>
  <si>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</si>
  <si>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</si>
  <si>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</si>
  <si>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</si>
  <si>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</si>
  <si>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</si>
  <si>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</si>
  <si>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</si>
  <si>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</si>
  <si>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</si>
  <si>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</si>
  <si>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</si>
  <si>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</si>
  <si>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</si>
  <si>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</si>
  <si>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</si>
  <si>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</si>
  <si>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</si>
  <si>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</si>
  <si>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</si>
  <si>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</si>
  <si>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</si>
  <si>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</si>
  <si>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</si>
  <si>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</si>
  <si>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</si>
  <si>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</si>
  <si>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</si>
  <si>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</si>
  <si>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</si>
  <si>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</si>
  <si>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</si>
  <si>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</si>
  <si>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</si>
  <si>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</si>
  <si>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</si>
  <si>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</si>
  <si>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</si>
  <si>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</si>
  <si>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</si>
  <si>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</si>
  <si>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</si>
  <si>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</si>
  <si>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</si>
  <si>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</si>
  <si>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</si>
  <si>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</si>
  <si>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</si>
  <si>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</si>
  <si>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</si>
  <si>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</si>
  <si>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</si>
  <si>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</si>
  <si>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</si>
  <si>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</si>
  <si>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</si>
  <si>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</si>
  <si>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</si>
  <si>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Reputacional</t>
  </si>
  <si>
    <t>Económico</t>
  </si>
  <si>
    <t>Económico y Reputacional</t>
  </si>
  <si>
    <t>Probabilidad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</si>
  <si>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</si>
  <si>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</si>
  <si>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</si>
  <si>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</si>
  <si>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</si>
  <si>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</si>
  <si>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</si>
  <si>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</si>
  <si>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</si>
  <si>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</si>
  <si>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</si>
  <si>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</si>
  <si>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</si>
  <si>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</si>
  <si>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</si>
  <si>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</si>
  <si>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</si>
  <si>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</si>
  <si>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</si>
  <si>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</si>
  <si>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</si>
  <si>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</si>
  <si>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</si>
  <si>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</si>
  <si>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</si>
  <si>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</si>
  <si>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</si>
  <si>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</si>
  <si>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</si>
  <si>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</si>
  <si>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</si>
  <si>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</si>
  <si>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</si>
  <si>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</si>
  <si>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</si>
  <si>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</si>
  <si>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</si>
  <si>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</si>
  <si>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</si>
  <si>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</si>
  <si>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</si>
  <si>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</si>
  <si>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</si>
  <si>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</si>
  <si>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</si>
  <si>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</si>
  <si>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</si>
  <si>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</si>
  <si>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</si>
  <si>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</si>
  <si>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</si>
  <si>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</si>
  <si>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</si>
  <si>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</si>
  <si>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</si>
  <si>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</si>
  <si>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</si>
  <si>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</si>
  <si>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</si>
  <si>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</si>
  <si>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</si>
  <si>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</si>
  <si>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</si>
  <si>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</si>
  <si>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</si>
  <si>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</si>
  <si>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</si>
  <si>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</si>
  <si>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</si>
  <si>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PROCESO</t>
  </si>
  <si>
    <t>RESPONSABLE</t>
  </si>
  <si>
    <t>ACCIONES A TOMAR</t>
  </si>
  <si>
    <t>PROBABILIDAD</t>
  </si>
  <si>
    <t xml:space="preserve">RIESGO </t>
  </si>
  <si>
    <t>PLAN DE MANEJO DEL RIESGO</t>
  </si>
  <si>
    <t xml:space="preserve">IDENTIFICACIÓN DEL RIESGO </t>
  </si>
  <si>
    <t>Responder afirmativamente de DOCE a DIECINUEVE preguntas genera un impacto CATASTRÒFICO</t>
  </si>
  <si>
    <t>Responder afirmativamente de SEIS a ONCE preguntas genera un impacto MAYOR</t>
  </si>
  <si>
    <t>Responder afirmativamente de UNO a CINCO pregunta(s) genera un impacto MODERADO</t>
  </si>
  <si>
    <t>TOTAL</t>
  </si>
  <si>
    <t>CALIFICACIÓN DE IMPACTO</t>
  </si>
  <si>
    <t>NIVEL</t>
  </si>
  <si>
    <t>Generar daño ambiental</t>
  </si>
  <si>
    <t>Afectar la imagen nacional</t>
  </si>
  <si>
    <t>Afectar la imagen regional</t>
  </si>
  <si>
    <t>Ocasionar lesiones físicas o pérdida de vidas humanas</t>
  </si>
  <si>
    <t>Generar pérdida de credibilidad del sector</t>
  </si>
  <si>
    <t>Dar lugar a procesos penales</t>
  </si>
  <si>
    <t>Dar lugar a procesos fiscales</t>
  </si>
  <si>
    <t>Dar lugar a procesos disciplinarios</t>
  </si>
  <si>
    <t>Dar lugar a proceso sancionatorios</t>
  </si>
  <si>
    <t>Generar intervención de los órganos de control, de la fiscalía, u otro ente</t>
  </si>
  <si>
    <t>Generar pérdida de información de la entidad</t>
  </si>
  <si>
    <t>Dar lugar al detrimento de calidad de vida de la comunidad por la pérdida del bien o servicios o los recursos públicos</t>
  </si>
  <si>
    <t>Afectar la generación de los productos o la prestación de servicios de la entidad</t>
  </si>
  <si>
    <t>Generar pérdida de recursos económicos</t>
  </si>
  <si>
    <t>Generar pérdida de confianza de la entidad, afectando su reputación</t>
  </si>
  <si>
    <t>Afectar el cumplimiento de la misión del sector a la que pertenece la entidad</t>
  </si>
  <si>
    <t>Afectar el cumplimiento de la misión de la entidad</t>
  </si>
  <si>
    <t>Afectar el cumplimiento de metas y objetivos de la dependencia</t>
  </si>
  <si>
    <t>Afectar al grupo de funcionarios del proceso</t>
  </si>
  <si>
    <t>No</t>
  </si>
  <si>
    <t>Si el riesgo de corrupción se materializa podría…</t>
  </si>
  <si>
    <t>RESPUESTA</t>
  </si>
  <si>
    <t>PREGUNTA</t>
  </si>
  <si>
    <t>Riesgo:</t>
  </si>
  <si>
    <t>FORMATO PARA DETERMINAR EL IMPACTO EN RIESGOS DE CORRUPCIÓN</t>
  </si>
  <si>
    <t>EXTREMA</t>
  </si>
  <si>
    <t>ALTA</t>
  </si>
  <si>
    <t>MODERADA</t>
  </si>
  <si>
    <t>BAJA</t>
  </si>
  <si>
    <t>CASI SEGURO</t>
  </si>
  <si>
    <t>PROBABLE</t>
  </si>
  <si>
    <t>POSIBLE</t>
  </si>
  <si>
    <t>IMPROBABLE</t>
  </si>
  <si>
    <t>RARO</t>
  </si>
  <si>
    <t>DÉBIL
menor a 85</t>
  </si>
  <si>
    <t xml:space="preserve">MODERADO
entre 86 y 95 </t>
  </si>
  <si>
    <t>DÉBIL = 0
débil + débil</t>
  </si>
  <si>
    <t xml:space="preserve">FUERTE
entre 96 y 100 </t>
  </si>
  <si>
    <t>DÉBIL = 0
débil + moderado</t>
  </si>
  <si>
    <t>RANGO DE CALIFICACIÒN DEL DISEÑO DEL CONTROL</t>
  </si>
  <si>
    <t>Corrupción</t>
  </si>
  <si>
    <t>DÉBIL = 0
débil + fuerte</t>
  </si>
  <si>
    <t>DÉBIL = 0
moderado + débil</t>
  </si>
  <si>
    <t>MODERADO = 50
moderado + moderado</t>
  </si>
  <si>
    <t>Casi Seguro</t>
  </si>
  <si>
    <t>MODERADO =50
moderado + fuerte</t>
  </si>
  <si>
    <t>Probable</t>
  </si>
  <si>
    <t>DÉBIL = 0
fuerte + débil</t>
  </si>
  <si>
    <t>DÉBIL
(no se ejecuta)</t>
  </si>
  <si>
    <t>DÉBIL
menor a 50</t>
  </si>
  <si>
    <t>Posible</t>
  </si>
  <si>
    <t xml:space="preserve">MODERADO = 50
fuerte + moderado </t>
  </si>
  <si>
    <t>MODERADO
(algunas veces)</t>
  </si>
  <si>
    <t>MODERADO
entre 50 y 99</t>
  </si>
  <si>
    <t>Improbable</t>
  </si>
  <si>
    <t>FUERTE = 100
fuerte + fuerte</t>
  </si>
  <si>
    <t>FUERTE
(siempre se ejecuta)</t>
  </si>
  <si>
    <t>FUERTE
igual a 100</t>
  </si>
  <si>
    <t>Rara vez</t>
  </si>
  <si>
    <t>TIPO DE CONTROL</t>
  </si>
  <si>
    <t xml:space="preserve">SOLIDEZ INDIVIDUAL DE CADA CONTROL: FUERTE: 100
 MODERADO 50 
DEBIL 0 </t>
  </si>
  <si>
    <t xml:space="preserve">RANGO DE CALIFICACIÓN DE LA EJECUCIÓN  </t>
  </si>
  <si>
    <t>CALIFICACIÓN DE LA SOLIDES DEL CONJUNTO DE CONTROLES</t>
  </si>
  <si>
    <t>TRATAMIENTO DEL RIESGO</t>
  </si>
  <si>
    <t>CLASIFICACIÓN DEL RIESGO</t>
  </si>
  <si>
    <t>DESCRIPCIÓN DEL CONTROL</t>
  </si>
  <si>
    <t>ZONA DE RIESGO INHERENTE</t>
  </si>
  <si>
    <t>IMPACTO INHERENTE</t>
  </si>
  <si>
    <t xml:space="preserve"> CRITERIOS DE IMPACTO</t>
  </si>
  <si>
    <t>PROBABILIDAD INHERENTE</t>
  </si>
  <si>
    <t>FRECUENCIA CON LA CUAL SE REALIZA LA ACTIVIDAD</t>
  </si>
  <si>
    <t>EVALUACIÓN DEL RIESGO - NIVEL DEL RIESGO RESIDUAL</t>
  </si>
  <si>
    <t>EVALUACIÓN DEL RIESGO - VALORACIÓN DE LOS CONTROLES</t>
  </si>
  <si>
    <t>ANÁLISIS DEL RIESGO INHERENTE</t>
  </si>
  <si>
    <t>VERIFICACIÓN DE CONTROLES ESTABLECIDOS</t>
  </si>
  <si>
    <t>Asignación del responsable</t>
  </si>
  <si>
    <t xml:space="preserve">Segregación y autoridad del responsable </t>
  </si>
  <si>
    <t xml:space="preserve">Propósito </t>
  </si>
  <si>
    <t>Qué pasa con las observaciones o desviaciones</t>
  </si>
  <si>
    <t>Evidencia de la ejecución del control</t>
  </si>
  <si>
    <t>DIRECCIONAMIENTO ESTRATEGICO</t>
  </si>
  <si>
    <t>SISTEMA INTEGRADO DE GESTIÓN</t>
  </si>
  <si>
    <t>COMUNICACIONES</t>
  </si>
  <si>
    <t>EVALUACIÓN, CONTROL Y SEGUIMIENTO</t>
  </si>
  <si>
    <t>GESTIÓN AMBIENTAL Y DESARROLLO RURAL</t>
  </si>
  <si>
    <t>PARTICIPACIÓN Y EDUCACION AMBIENTAL</t>
  </si>
  <si>
    <t>PLANEACION AMBIENTAL</t>
  </si>
  <si>
    <t>GESTIÓN DOCUMENTAL</t>
  </si>
  <si>
    <t>GESTIÓN JURÍDICA</t>
  </si>
  <si>
    <t>GESTIÓN FINANCIERA</t>
  </si>
  <si>
    <t>GESTIÓN ADMINISTRATIVA</t>
  </si>
  <si>
    <t>GESTIÓN TECNOLÓGICA</t>
  </si>
  <si>
    <t>GESTIÓN DEL TALENTO HUMANO</t>
  </si>
  <si>
    <t>GESTIÓN DISCIPLINARIA</t>
  </si>
  <si>
    <t>METROLOGÍA MONITOREO Y MODELACIÓN</t>
  </si>
  <si>
    <t>GESTIÓN CONTRACTUAL</t>
  </si>
  <si>
    <t>SERVICIO A LA CIUDADANÍA</t>
  </si>
  <si>
    <t>CONTROL Y MEJORA</t>
  </si>
  <si>
    <t>SI o NO</t>
  </si>
  <si>
    <t>SI</t>
  </si>
  <si>
    <t>NO</t>
  </si>
  <si>
    <t xml:space="preserve">Permite definir un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</si>
  <si>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Teniendo en cuenta que ingresó la información de PROBABILIDAD e IMPACTO, la matriz automáticamente hará el cálculo para la zona de riesgo inherente (Columna O)</t>
  </si>
  <si>
    <t>Esta casilla no se diligencia, depende de la selección en la columna S.</t>
  </si>
  <si>
    <t xml:space="preserve">La matriz automáticamente hará el cálculo para el control analizado (Columna U) </t>
  </si>
  <si>
    <t>Matriz Mapa de Riesgos de Corrupción</t>
  </si>
  <si>
    <t>Ejemplo.</t>
  </si>
  <si>
    <t>MATRIZ DE DEFINICIÓN DE RIESGOS DE CORRUPCIÓN</t>
  </si>
  <si>
    <t xml:space="preserve">Acción u Omisión </t>
  </si>
  <si>
    <t xml:space="preserve">Uso del poder Desviar la gestión de lo público </t>
  </si>
  <si>
    <t>Beneficio particular</t>
  </si>
  <si>
    <t>Posibilidad de recibir o solicitar cualquier dádiva o beneficio a nombre propio o de un tercero con el fin de favorecer a un privado</t>
  </si>
  <si>
    <t>x</t>
  </si>
  <si>
    <t>Causa / Vulnerabilidad</t>
  </si>
  <si>
    <t>Consecuencia</t>
  </si>
  <si>
    <t>Teniendo en cuenta que ingresó la información de PROBABILIDAD e IMPACTO, la matriz automáticamente hará el cálculo para la zona de riesgo inherente (Columna J)</t>
  </si>
  <si>
    <t>Tipo de Control Establecido</t>
  </si>
  <si>
    <t>Periodicidad</t>
  </si>
  <si>
    <t>Cómo se realiza la actividad de control</t>
  </si>
  <si>
    <t>Puntaje</t>
  </si>
  <si>
    <t>El resultado de cada variable de diseño, a excepción de la evidencia, va a afectar la calificación del diseño del control, ya que deben cumplirse todas las variables para que un control se evalúe como bien diseñado.
La matriz automáticamente hará el cálculo, acorde con la verificación del control o controles definidos con sus atributos  (Columnas T - U).</t>
  </si>
  <si>
    <t>Rango de Calificación de la Ejecución del Control</t>
  </si>
  <si>
    <t>Rango de calificación</t>
  </si>
  <si>
    <t>Acciones para fortalecer el control</t>
  </si>
  <si>
    <t>Calificación de la solidez del control</t>
  </si>
  <si>
    <t>De acuerdo a la solidez del conjunto de los controles, este disminuirá el cuadrante de  probabilidad asociado al riesgo.</t>
  </si>
  <si>
    <t>Tratándose de riesgos de corrupción únicamente hay disminución de probabilidad. Es decir, para el impacto no opera el desplazamiento.</t>
  </si>
  <si>
    <t>Opciones de manejo</t>
  </si>
  <si>
    <t xml:space="preserve">Esta casilla dependerá del tratamiento establecido,  se deben diligenciar las acciones que se adelantarán como complemento a los controles establecidos, no necesariamente son controles adicionales.  </t>
  </si>
  <si>
    <t>Plan de Contingencia</t>
  </si>
  <si>
    <t xml:space="preserve">En caso de materialización de riesgo se debe establecer acción a seguir y responsable de su ejecución </t>
  </si>
  <si>
    <t>Se analiza qué tan posible es que ocurra el riesgo, se expresa en términos de frecuencia o factibilidad, donde frecuencia implica analizar el número de eventos en un periodo determinado, se trata de hechos que se han materializado o se cuenta con un historial de situaciones o eventos asociados al riesgo; factibilidad implica analizar la presencia de factores internos y externos que pueden propiciar el riesgo, se trata en este caso de un hecho que no se ha presentado pero es posible que suceda</t>
  </si>
  <si>
    <t xml:space="preserve">Son los efectos ocasionados por la ocurrencia de un riesgo que afecta el proceso o el procedimiento. Consecuencias imagen institucional deteriorada, daño a los recursos públicos, desconfianza del ciudadano y espacios de generación de actos de corrupción complejos. </t>
  </si>
  <si>
    <t>La solidez del conjunto de controles se obtiene calculando el promedio aritmético simple de los controles por cada riesgo.
La matriz automáticamente hará el cálculo  (Columnas AA). 
En la columna AB se desplegara una lista con las opciones:
Fuerte El promedio de la solidez individual de cada control
al sumarlos y ponderarlos es igual a 100.
Moderado El promedio de la solidez individual de cada control al sumarlos y ponderarlos está entre 50 y 99.
Débil El promedio de la solidez individual de cada control al sumarlos y ponderarlos es menor a 50.</t>
  </si>
  <si>
    <t>Seguridad de la Información</t>
  </si>
  <si>
    <t>IMPACTO</t>
  </si>
  <si>
    <t>MATRIZ DE CALOR (NIVELES DE SEVERIDAD DEL RIESGO)</t>
  </si>
  <si>
    <t>FRECUENCIA</t>
  </si>
  <si>
    <t>AFECTACIÓN ECONÓMICA</t>
  </si>
  <si>
    <t>REPUTACIONAL</t>
  </si>
  <si>
    <t xml:space="preserve">La actividad que conlleva el riesgo se ejecuta
como máximos 2 veces por año </t>
  </si>
  <si>
    <t>Leve</t>
  </si>
  <si>
    <t>Afectación menor a 10 SMLMV</t>
  </si>
  <si>
    <t>El riesgo afecta la imagen de algún área de la
organización.</t>
  </si>
  <si>
    <t>Muy Alta 100%</t>
  </si>
  <si>
    <t>ALTO</t>
  </si>
  <si>
    <t>EXTREMO</t>
  </si>
  <si>
    <t>La actividad que conlleva el riesgo se ejecuta de
3 a 24 veces por año</t>
  </si>
  <si>
    <t>Entre 10 y 50 SMLMV</t>
  </si>
  <si>
    <t>El riesgo afecta la imagen de la entidad
internamente, de conocimiento general nivel interno, de junta directiva y accionistas y/o de
proveedores</t>
  </si>
  <si>
    <t>Alta 80%</t>
  </si>
  <si>
    <t>MODERADO</t>
  </si>
  <si>
    <t xml:space="preserve">La actividad que conlleva el riesgo se ejecuta de
24 a 500 veces por año </t>
  </si>
  <si>
    <t>El riesgo afecta la imagen de la entidad con algunos usuarios de relevancia frente al logro de los objetivos.</t>
  </si>
  <si>
    <t>Media 60%</t>
  </si>
  <si>
    <t>La actividad que conlleva el riesgo se ejecuta
mínimo 500 veces al año y máximo 5000 veces
por año</t>
  </si>
  <si>
    <t>Entre 100 y 500 SMLMV</t>
  </si>
  <si>
    <t>El riesgo afecta la imagen de la entidad con efecto publicitario sostenido a nivel de sector administrativo, nivel departamental o municipal.</t>
  </si>
  <si>
    <t>Baja 40%</t>
  </si>
  <si>
    <t>BAJO</t>
  </si>
  <si>
    <t xml:space="preserve">La actividad que conlleva el riesgo se ejecuta más
de 5000 veces por año </t>
  </si>
  <si>
    <t>Mayor a 500 SMLMV</t>
  </si>
  <si>
    <t>El riesgo afecta la imagen de la entidad a nivel nacional, con efecto publicitario sostenido a nivel país.</t>
  </si>
  <si>
    <t>Muy Baja 20%</t>
  </si>
  <si>
    <t>Tipo de Riesgo</t>
  </si>
  <si>
    <t>Menor 40%</t>
  </si>
  <si>
    <t>Pérdida de confidencialidad</t>
  </si>
  <si>
    <t>EFICIENCIA DEL CONTROL</t>
  </si>
  <si>
    <t>Pérdida de integridad</t>
  </si>
  <si>
    <t>Pérdida de disponibilidad</t>
  </si>
  <si>
    <t>IMPLEMENTACIÓN</t>
  </si>
  <si>
    <t>Clasificación del riesgo</t>
  </si>
  <si>
    <t>Con registro</t>
  </si>
  <si>
    <t>Ejecución y administración de procesos</t>
  </si>
  <si>
    <t>Sin documentar</t>
  </si>
  <si>
    <t>Sin registro</t>
  </si>
  <si>
    <t>Fraude externo</t>
  </si>
  <si>
    <t>Mitigar</t>
  </si>
  <si>
    <t>Fraude interno</t>
  </si>
  <si>
    <t>Transferir</t>
  </si>
  <si>
    <t>Fallas tecnológicas</t>
  </si>
  <si>
    <t>Relaciones laborales</t>
  </si>
  <si>
    <t>Usuarios, productos y prácticas</t>
  </si>
  <si>
    <t>Daños a activos fijos</t>
  </si>
  <si>
    <t>Eventos externos</t>
  </si>
  <si>
    <t>Procesos</t>
  </si>
  <si>
    <t>CATEGORÍAS DE ACTIVOS</t>
  </si>
  <si>
    <t>Bases de Datos</t>
  </si>
  <si>
    <t>bd</t>
  </si>
  <si>
    <t>Datos / Información</t>
  </si>
  <si>
    <t>di</t>
  </si>
  <si>
    <t>Equipos Auxiliares</t>
  </si>
  <si>
    <t>ea</t>
  </si>
  <si>
    <t>Hardware / Infraestructura</t>
  </si>
  <si>
    <t>hw</t>
  </si>
  <si>
    <t>Instalaciones</t>
  </si>
  <si>
    <t>ip</t>
  </si>
  <si>
    <t>Personas</t>
  </si>
  <si>
    <t>Redes de Comunicaciones</t>
  </si>
  <si>
    <t>_rc</t>
  </si>
  <si>
    <t>Servicios</t>
  </si>
  <si>
    <t>si</t>
  </si>
  <si>
    <t xml:space="preserve">Software / Aplicaciones Informáticas </t>
  </si>
  <si>
    <t>sw</t>
  </si>
  <si>
    <t>Soportes de Información</t>
  </si>
  <si>
    <t>sa</t>
  </si>
  <si>
    <t>SOFTWARE / APLICACIONES INFORMÁTICAS [SW]</t>
  </si>
  <si>
    <t>Consolidado de Amenazas</t>
  </si>
  <si>
    <t>Vulnerabilidades por tipo de activo</t>
  </si>
  <si>
    <t>[A01] Acceso no autorizado</t>
  </si>
  <si>
    <t>Descripción Amenazas</t>
  </si>
  <si>
    <t>Ausencia o insuficiencia de pruebas de calidad de software</t>
  </si>
  <si>
    <t>[A02] Negación de las acciones realizadas</t>
  </si>
  <si>
    <t>Aceptación de Defectos conocidos en el software</t>
  </si>
  <si>
    <t>[A03] Interceptación no autorizada</t>
  </si>
  <si>
    <t>Ausencia o debilidad en el manejo de la sesiones de acceso</t>
  </si>
  <si>
    <t>[A04] Alteración o modificación no autorizadas</t>
  </si>
  <si>
    <t>Errores de programación en el sistema</t>
  </si>
  <si>
    <t>[A05] Destrucción o eliminación no autorizada</t>
  </si>
  <si>
    <t>Ausencia de registros de auditoria</t>
  </si>
  <si>
    <t>[A06] Divulgación no autorizada</t>
  </si>
  <si>
    <t>Ausencia de soporte, mantenimiento o actualización</t>
  </si>
  <si>
    <t>[A07] Sabotaje (daño intencional)</t>
  </si>
  <si>
    <t>Interfaz de usuario compleja</t>
  </si>
  <si>
    <t>[A08] Hurto, Robo o Pérdida</t>
  </si>
  <si>
    <t>Ausencia de manuales de uso y configuración</t>
  </si>
  <si>
    <t>[A09] Acto de vandalismo o ataque destructivo</t>
  </si>
  <si>
    <t>[A10] Abuso en los privilegios de acceso</t>
  </si>
  <si>
    <t>Instalación y/o configuración incorrecta o por defecto</t>
  </si>
  <si>
    <t>[A12] Uso no previsto o inadecuado</t>
  </si>
  <si>
    <t>Ausencia de validaciones para el registro de información</t>
  </si>
  <si>
    <t>[A11] Daño por fuego, agua, polvo, vibraciones o suciedad</t>
  </si>
  <si>
    <t>[A14] Error en el uso</t>
  </si>
  <si>
    <t>Ausencia de mecanismos de identificación y autenticación de usuario</t>
  </si>
  <si>
    <t>[A16] Fuga o interceptación</t>
  </si>
  <si>
    <t>Ausencia de pruebas de seguridad</t>
  </si>
  <si>
    <t>[A13] Daño por condiciones ambientales inadecuadas</t>
  </si>
  <si>
    <t>[A17] Error por mantenimiento o actualización</t>
  </si>
  <si>
    <t>Software nuevo o inmaduro</t>
  </si>
  <si>
    <t xml:space="preserve">[A20] Alteración de funcionalidades </t>
  </si>
  <si>
    <t>Especificaciones de desarrollo incompletas o incorrectas</t>
  </si>
  <si>
    <t>[A15] Engaño o manipulación (Ingeniería social)</t>
  </si>
  <si>
    <t>[A21] Infección por software dañino o malicioso</t>
  </si>
  <si>
    <t>Ausencia de control de cambios o versionamiento adecuado</t>
  </si>
  <si>
    <t>[A22] Falla o mal funcionamiento</t>
  </si>
  <si>
    <t>Ausencia de manejo de roles y perfiles</t>
  </si>
  <si>
    <t>[A23] Falla o Error en la instalación, administración o custodia</t>
  </si>
  <si>
    <t>Falta de implementación de políticas de desarrollo seguro</t>
  </si>
  <si>
    <t>[A18] Agotamiento de recursos o capacidades</t>
  </si>
  <si>
    <t>[A24] Denegación de acceso o inaccesibilidad</t>
  </si>
  <si>
    <t>Ausencia de copias de respaldo de las configuraciones</t>
  </si>
  <si>
    <t>[A19] Degradación o deterioro</t>
  </si>
  <si>
    <t>[A25] Comportamiento inesperado o anormal</t>
  </si>
  <si>
    <t>[A27] Cambio o ajuste no controlado</t>
  </si>
  <si>
    <t>[A29] Error o falla en el monitoreo</t>
  </si>
  <si>
    <t>[A32] Suplantación de la identidad</t>
  </si>
  <si>
    <t>HARDWARE/ INFRAESTRUCTURA [HW]</t>
  </si>
  <si>
    <t>Ausencia o debilidades en los controles de acceso</t>
  </si>
  <si>
    <t>Ausencia de procedimientos para el transporte o traslado de equipos</t>
  </si>
  <si>
    <t>[A26] Ocupación no autorizada o invasión de espacio</t>
  </si>
  <si>
    <t>Ausencia de esquemas de reemplazo o actualización</t>
  </si>
  <si>
    <t>Ausencia de esquemas de monitoreo y control</t>
  </si>
  <si>
    <t>[A28] Redireccionamiento no autorizado</t>
  </si>
  <si>
    <t>Uso o manejo inadecuado de los equipos</t>
  </si>
  <si>
    <t>Mantenimientos Insuficientes</t>
  </si>
  <si>
    <t xml:space="preserve">[A30] Extorsión o amenazas </t>
  </si>
  <si>
    <t>Instalaciones o configuraciones fallidas o por defecto</t>
  </si>
  <si>
    <t>[A31] Desastres naturales</t>
  </si>
  <si>
    <t>Ausencia de controles de cambios en las configuraciones</t>
  </si>
  <si>
    <t>Ubicación o almacenamiento en lugares inseguros</t>
  </si>
  <si>
    <t>[A33] Corte del suministro eléctrico</t>
  </si>
  <si>
    <t>Falta de controles para la disposición final</t>
  </si>
  <si>
    <t>[A34] Interrupción de suministros esenciales</t>
  </si>
  <si>
    <t>Ausencia de mecanismos de monitoreo y control ambiental</t>
  </si>
  <si>
    <t>[A35] Daño o destrucción no intencional</t>
  </si>
  <si>
    <t xml:space="preserve">Fallas en los servicios de suministros </t>
  </si>
  <si>
    <t>Desconocimiento de los procedimientos de control y cambio</t>
  </si>
  <si>
    <t>Ausencia de mecanismos de continuidad</t>
  </si>
  <si>
    <t>Ausencia de planes y pruebas de continuidad</t>
  </si>
  <si>
    <t>SERVICIOS [SI]</t>
  </si>
  <si>
    <t>Ausencia de pruebas de envío o recepción de mensajes</t>
  </si>
  <si>
    <t>Líneas de comunicación sin protección</t>
  </si>
  <si>
    <t>Tráfico sensible sin protección</t>
  </si>
  <si>
    <t>Conexión deficiente de los cables.</t>
  </si>
  <si>
    <t>Punto único de falla</t>
  </si>
  <si>
    <t>Ausencia de identificación y autentificación de emisor y receptor</t>
  </si>
  <si>
    <t>Arquitectura insegura del servicio</t>
  </si>
  <si>
    <t>Transferencia de contraseñas en claro</t>
  </si>
  <si>
    <t>Gestión inadecuada del servicio (Tolerancia a fallas en el enrutamiento)</t>
  </si>
  <si>
    <t>Conexiones de red públicas o sin protección</t>
  </si>
  <si>
    <t>Falta de separación de Redes</t>
  </si>
  <si>
    <t>Utilización de Protocolos inseguros de comunicación</t>
  </si>
  <si>
    <t>Ausencia de sistemas de monitoreo y control</t>
  </si>
  <si>
    <t>Falta de conciencia acerca de la seguridad</t>
  </si>
  <si>
    <t>Ausencia de pruebas funcionales o de stress</t>
  </si>
  <si>
    <t>SOPORTES DE INFORMACIÓN [SA]</t>
  </si>
  <si>
    <t>Ausencia de esquemas de reemplazo periódico.</t>
  </si>
  <si>
    <t>Susceptibilidad a la humedad, el polvo y la suciedad.</t>
  </si>
  <si>
    <t>Almacenamiento sin protección</t>
  </si>
  <si>
    <t>Falta de cuidado en la disposición final</t>
  </si>
  <si>
    <t>Almacenamiento desprotegido de datos o información</t>
  </si>
  <si>
    <t>Ausencia de controles contra códigos maliciosos</t>
  </si>
  <si>
    <t>Ausencia de copias de  respaldos</t>
  </si>
  <si>
    <t>Falta de estándares y controles para el uso dispositivos</t>
  </si>
  <si>
    <t>Desconocimiento de las recomendaciones o guías de uso</t>
  </si>
  <si>
    <t>EQUIPOS AUXILIARES [EA]</t>
  </si>
  <si>
    <t xml:space="preserve"> Falta de estándares y controles para el uso de elementos</t>
  </si>
  <si>
    <t>Ausencia de pruebas  de funcionamiento</t>
  </si>
  <si>
    <t>Obsolescencia de los equipos o las tecnologías</t>
  </si>
  <si>
    <t>INSTALACIONES Y PERSONAL [IP]</t>
  </si>
  <si>
    <t>Uso inadecuado o descuidado de las instalaciones o recintos</t>
  </si>
  <si>
    <t>Ubicación en un área susceptible a inundaciones, suciedad</t>
  </si>
  <si>
    <t>Red energética inestable</t>
  </si>
  <si>
    <t>Ausencia de protección física de la edificación,  puertas y ventanas</t>
  </si>
  <si>
    <t>Ausencia o indisponibilidad del personal</t>
  </si>
  <si>
    <t>Debilidades en los procedimientos  de contratación</t>
  </si>
  <si>
    <t>Entrenamiento insuficiente en seguridad</t>
  </si>
  <si>
    <t>Trabajo no supervisado del personal externo o de limpieza</t>
  </si>
  <si>
    <t>Ausencia de mecanismos de monitoreo y control</t>
  </si>
  <si>
    <t>Falta de segregación de funciones</t>
  </si>
  <si>
    <t>Ausencia de implementación de perímetros de seguridad</t>
  </si>
  <si>
    <t>Ausencia de procesos disciplinarios</t>
  </si>
  <si>
    <t>Ausencia de control de acceso físico en las instalaciones o recintos</t>
  </si>
  <si>
    <t>DATOS O INFORMACIÓN [DI]</t>
  </si>
  <si>
    <t>Ausencia de requisitos de seguridad con terceros</t>
  </si>
  <si>
    <t xml:space="preserve">Ausencia de acuerdos o cláusulas de confidencialidad </t>
  </si>
  <si>
    <t>Disposición insegura de datos o información</t>
  </si>
  <si>
    <t>Ausencia de copias de respaldo</t>
  </si>
  <si>
    <t>Falta de revisión periódica de las medidas de seguridad</t>
  </si>
  <si>
    <t xml:space="preserve">Tratamiento inadecuado de datos o información </t>
  </si>
  <si>
    <t>Ausencia de lecciones aprendidas sobre incidentes de seguridad</t>
  </si>
  <si>
    <t xml:space="preserve">No corrección de vulnerabilidades conocidas </t>
  </si>
  <si>
    <t>Copias no controladas ni autorizadas de datos o información</t>
  </si>
  <si>
    <t>Ausencia de métodos de cifrado</t>
  </si>
  <si>
    <t>Ausencia de Controles de acceso</t>
  </si>
  <si>
    <t>Habilitación de servicios o accesos innecesarios</t>
  </si>
  <si>
    <t>Desconocimiento de políticas y procedimientos</t>
  </si>
  <si>
    <t>Clasificación inadecuada de la información</t>
  </si>
  <si>
    <t>REDES DE COMUNICACIÓN [RC]</t>
  </si>
  <si>
    <t>BASES DE DATOS [BD]</t>
  </si>
  <si>
    <t>El archivo contiene las siguientes hojas:
- Hoja 1 Contexto 
- Hoja 2 Instructivo R. Gestión
- Hoja 3 R. Gestión: Encontrará el Mapa Final con la totalidad de la estructura para la identificación y valoración de los riesgos por proceso.
- Hoja 4 Instructivo R. Corrupción
- Hoja 5 R. Corrupción:  Encontrará el Mapa Final con la totalidad de la estructura para la identificación y valoración de estos riesgos por proceso.
- Hoja 6 Impacto Corrupción: Formato con el cuestionario para determinar el impacto en riesgos de corrupción</t>
  </si>
  <si>
    <t>Utilice la lista de despliegue que se encuentra parametrizada, le aparecerán las opciones: i) Daños Activos Físicos, ii) Ejecución y Administración de procesos, iii) Fraude Externo, iv) Fraude Interno, v) Fallas Tecnológicas,  vi) Ambiental vii) Relaciones Laborales, viii) 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</si>
  <si>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 (Columnas H-J)</t>
  </si>
  <si>
    <t>Utilice la lista de despliegue que se encuentra parametrizada, le aparecerán las opciones de la tabla de Impacto en la Hoja 6 del presente documento. La matriz automáticamente hará el cálculo para el nivel de impacto inherente (Columnas M-N)</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</si>
  <si>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</si>
  <si>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</si>
  <si>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</si>
  <si>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</si>
  <si>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</si>
  <si>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</si>
  <si>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</si>
  <si>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</si>
  <si>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Es necesario que en la descripción del riesgo concurran los componentes de su definición, así:
ACCIÓN U OMISIÓN + USO DEL PODER + DESVIACIÓN DE LA GESTIÓN DE LO PÚBLICO + EL BENEFICIO PRIVADO. 
Los riesgos de corrupción se establecen sobre procesos.
El riesgo debe estar descrito de manera clara y precisa. Su redacción no debe dar lugar a ambigüedades o confusiones con la causa generadora de los mismos.
Con el fin de facilitar la identificación de riesgos de corrupción y evitar que se presenten confusiones entre un riesgo de gestión y uno de corrupción, se sugiere la utilización de la matriz de definición de riesgo de corrupción, que incorpora cada uno de los componentes de su definición.
De acuerdo con la siguiente matriz, si se marca con una X en la descripción del  riesgo que aparece en cada casilla quiere decir que se trata de un riesgo de corrupción:</t>
  </si>
  <si>
    <t xml:space="preserve">Análisis del Riesgo de Corrupción
Combinación Probabilidad / Impacto
Probabilidad: 5 niveles: Rara vez, Improbables, Posible, Probables. Casi seguro.
Impacto: 3 niveles: 
El Impacto se determinara mediante el diligenciamiento del formato que contiene 19 preguntas. </t>
  </si>
  <si>
    <t xml:space="preserve">Permite definir un consecutivo de riesgos.
Una entidad puede ir en el riesgo 150, pero tener 70 riesgos, lo que permite llevar una traza de los riesgos. Esta información la debe administrar la oficina asesora de planeación o gerencia de riesgos.  Cuando un riesgo salga del mapa no existirá otro riesgo con el mismo número. </t>
  </si>
  <si>
    <t>Debe contar con una redacción clara y concreta del riesgo identificado,  tener en cuenta la estructura de alto nivel establecida en al guía, es necesario que en la descripción del riesgo concurran los componentes de su definición, así: ACCIÓN U OMISIÓN + USO DEL PODER + DESVIACIÓN DE LA GESTIÓN DE LO PÚBLICO + EL BENEFICIO PRIVADO.</t>
  </si>
  <si>
    <t>El impacto se debe analizar y calificar a partir de las consecuencias identificadas en la fase de descripción del riesgo, diligenciando el cuestionario en sus 19 pregunta</t>
  </si>
  <si>
    <t>Evaluación del  Riesgo Inherente</t>
  </si>
  <si>
    <t>Utilice la lista de despliegue que se encuentra parametrizada, le aparecerán las opciones: i)Preventivo, ii)Detectivo</t>
  </si>
  <si>
    <t>¿Existe un responsable asignado a la ejecución del control?
Utilice la lista de despliegue que se encuentra parametrizada, le aparecerán las opciones: Asignado 15; No Asignado 0</t>
  </si>
  <si>
    <t>¿El responsable tiene la autoridad y adecua-da segregación de funciones en la ejecución del control?
Utilice la lista de despliegue que se encuentra parametrizada, le aparecerán las opciones: Adecuado 15, Inadecuado 0</t>
  </si>
  <si>
    <t>¿La oportunidad en que se ejecuta el control ayuda a prevenir la mitigación del riesgo o a detectar la materialización del riesgo de manera oportuna?
Utilice la lista de despliegue que se encuentra parametrizada, le aparecerán las opciones: Oportuna 15. Inoportuna 0</t>
  </si>
  <si>
    <t>¿Las actividades que se desarrollan en el control realmente buscan por si sola prevenir o detectar las causas que pueden dar origen al riesgo, Ej.: verificar, validar, cotejar, comparar, revisar, etc.?
Utilice la lista de despliegue que se encuentra parametrizada, le aparecerán las opciones: Prevenir 15, Detectar 10, No es un control 0</t>
  </si>
  <si>
    <t>¿La fuente de información que se utiliza en el desarrollo del control es información confiable que permita mitigar el riesgo?
Utilice la lista de despliegue que se encuentra parametrizada, le aparecerán las opciones: Confiable 15, No confiable 0</t>
  </si>
  <si>
    <t>¿Las observaciones, desviaciones o diferencias identificadas como resultados de la ejecución del control son investigadas y resueltas de manera oportuna?
Utilice la lista de despliegue que se encuentra parametrizada, le aparecerán las opciones: Se investigan y resuelven oportunamente 15, No se investigan y resuelven oportunamente  0</t>
  </si>
  <si>
    <t>¿Se deja evidencia o rastro de la ejecución del control que permita a cualquier tercero con la evidencia llegar a la misma conclusión?
Utilice la lista de despliegue que se encuentra parametrizada, le aparecerán las opciones: Completa 10,  Incompleta 5, No existe 0</t>
  </si>
  <si>
    <t>Aunque un control esté bien diseñado, este debe ejecutarse de manera  consistente,  debe asegurarse por parte de la primera línea de defensa que el control se ejecute.
Utilice la lista de despliegue que se encuentra parametrizada, le aparecerán las opciones: Fuerte: El control se ejecuta de manera consistente por parte del responsable. Moderado: El control se ejecuta algunas veces por parte del responsable. Débil: El control no se ejecuta por parte del responsable.</t>
  </si>
  <si>
    <t>Evaluación de la Solidez del Control</t>
  </si>
  <si>
    <t>Se determina si se debe establecer acción o acciones para fortalecer el control
Utilice la lista de despliegue que se encuentra parametrizada, le aparecerán las opciones: Si. NO</t>
  </si>
  <si>
    <t>Evaluación del  Riesgo Residual</t>
  </si>
  <si>
    <t>Utilice la lista de despliegue que se encuentra parametrizada, le aparecerán las opciones: i)Aceptar, ii)Evitar, iii)Reducir, iv) Compartir o Transferir.</t>
  </si>
  <si>
    <t>Para la gestión de riesgos de corrupción, continúan vigentes los lineamientos contenidos en la versión 4 de la Guía para la administración del riesgo y el diseño de controles en entidades públicas de 2018. Por lo anterior es necesario que para formular el mapa de riesgos de corrupción, se remita a dicho documento. Para mayor facilidad, a continuación se transcriben algunos de las pautas señaladas en la Guía para la administración del riesgo y el diseño de controles en entidades públicas de 2018, que reiterando sigue vigente. El formato cuenta con celdas parametrizadas y permite contar con los respectivos mapas de calor para riesgo inherente y riesgo residual.</t>
  </si>
  <si>
    <t xml:space="preserve">Antes de iniciar con el diligenciamiento de la información en la matriz, se requiere definir que es RIESGO DE CORRUPCIÓN
Definición de riesgo de corrupción: Es la posibilidad de que, por acción u omisión, se use el poder para desviar la gestión de lo público hacia un beneficio privado.
“Esto implica que las prácticas corruptas son realizadas por actores públicos y/o privados con poder e incidencia en la toma de decisiones y la administración de los bienes públicos” (Conpes N° 167 de 2013). 
</t>
  </si>
  <si>
    <t>Descripción del riesgo</t>
  </si>
  <si>
    <t>Identificar los puntos sensibles en  el proceso, analizar las debilidades que pueden ser causas de hechos de corrupción en las actividades internas de la entidad, así como las amenazas del entorno,  se pueden identificar a partir de los componentes de oportunidad, presión y responsabilidad.
₋ Oportunidad: Las variables que inciden en la oportunidad para la corrupción debido a las fallas de los procedimientos y ausencia de controles en el desarrollo de los trámites,
₋ Presión: Los factores de la dimensión de presión donde es necesario identificar que actores corruptos externos a la entidad inciden.
₋ Responsabilidad: Las fallas éticas y de compromiso con lo público que afectan un desarrollo objetivo e imparcial en el manejo y regulación de los recursos públicos.</t>
  </si>
  <si>
    <t>La calificación de la solidez de cada control será considerada tendiendo en cuenta la calificación del diseño o ejecución con menor calificación entre fuerte, moderado y débil
Utilice la lista de despliegue que se encuentra parametrizada, en la columna X</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</si>
  <si>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1"/>
        <color theme="9" tint="-0.249977111117893"/>
        <rFont val="Arial"/>
        <family val="2"/>
      </rPr>
      <t>Guía para la Administración del Riesgo y el diseño de controles V5</t>
    </r>
    <r>
      <rPr>
        <sz val="11"/>
        <rFont val="Arial"/>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</si>
  <si>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proceso, su objetivo, alcance, actividades clave, considere los lineamientos establecidos en el </t>
    </r>
    <r>
      <rPr>
        <sz val="11"/>
        <color theme="9" tint="-0.249977111117893"/>
        <rFont val="Arial"/>
        <family val="2"/>
      </rPr>
      <t>Paso 2: identificación del riesgo</t>
    </r>
    <r>
      <rPr>
        <sz val="11"/>
        <rFont val="Arial"/>
        <family val="2"/>
      </rPr>
      <t xml:space="preserve">, donde se explica ampliamente las bases para adelantar este análisis.
Así mismo, considere en el </t>
    </r>
    <r>
      <rPr>
        <sz val="11"/>
        <color theme="9" tint="-0.249977111117893"/>
        <rFont val="Arial"/>
        <family val="2"/>
      </rPr>
      <t>Paso 3: valoración del riesgo</t>
    </r>
    <r>
      <rPr>
        <sz val="11"/>
        <rFont val="Arial"/>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sz val="11"/>
        <color theme="9" tint="-0.249977111117893"/>
        <rFont val="Arial"/>
        <family val="2"/>
      </rPr>
      <t>NOTA:</t>
    </r>
    <r>
      <rPr>
        <sz val="11"/>
        <rFont val="Arial"/>
        <family val="2"/>
      </rPr>
      <t xml:space="preserve"> Si lo considera pertinente, es posible agregar hojas de trabajo adicionales al presente formato que permitan incluir la traza de estos análisis.</t>
    </r>
  </si>
  <si>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1"/>
        <color theme="9" tint="-0.249977111117893"/>
        <rFont val="Arial"/>
        <family val="2"/>
      </rPr>
      <t>POSIBILIDAD DE + Impacto para la entidad (Qué) + Causa Inmediata (Cómo) + Causa Raíz (Por qué)</t>
    </r>
  </si>
  <si>
    <r>
      <t xml:space="preserve">Recuerde que el control se define como la medida que permite reducir o mitigar un riesgo. Defina el control (es) que atacan la causa raíz del riesgo, considere la estructura explicada en la guía: </t>
    </r>
    <r>
      <rPr>
        <b/>
        <sz val="11"/>
        <color theme="9" tint="-0.249977111117893"/>
        <rFont val="Arial"/>
        <family val="2"/>
      </rPr>
      <t>Responsable de ejecutar el control + Acción + Complemento</t>
    </r>
  </si>
  <si>
    <r>
      <t xml:space="preserve">ATRIBUTOS EFICIENCIA
</t>
    </r>
    <r>
      <rPr>
        <sz val="11"/>
        <rFont val="Arial"/>
        <family val="2"/>
      </rPr>
      <t>Tipo</t>
    </r>
  </si>
  <si>
    <r>
      <t xml:space="preserve">ATRIBUTOS EFICIENCIA
</t>
    </r>
    <r>
      <rPr>
        <sz val="11"/>
        <rFont val="Arial"/>
        <family val="2"/>
      </rPr>
      <t>Implementación</t>
    </r>
  </si>
  <si>
    <r>
      <t xml:space="preserve">ATRIBUTOS EFICIENCIA
</t>
    </r>
    <r>
      <rPr>
        <sz val="11"/>
        <rFont val="Arial"/>
        <family val="2"/>
      </rPr>
      <t>Calificación</t>
    </r>
  </si>
  <si>
    <r>
      <t xml:space="preserve">ATRIBUTOS INFORMATIVOS
</t>
    </r>
    <r>
      <rPr>
        <sz val="11"/>
        <rFont val="Arial"/>
        <family val="2"/>
      </rPr>
      <t>Documentación</t>
    </r>
  </si>
  <si>
    <r>
      <t xml:space="preserve">ATRIBUTOS INFORMATIVOS
</t>
    </r>
    <r>
      <rPr>
        <sz val="11"/>
        <rFont val="Arial"/>
        <family val="2"/>
      </rPr>
      <t>Frecuencia</t>
    </r>
  </si>
  <si>
    <r>
      <t xml:space="preserve">ATRIBUTOS INFORMATIVOS
</t>
    </r>
    <r>
      <rPr>
        <sz val="11"/>
        <rFont val="Arial"/>
        <family val="2"/>
      </rPr>
      <t>Registro</t>
    </r>
  </si>
  <si>
    <r>
      <t>La matriz automáticamente hará el cálculo, acorde con el control o controles definidos con sus atributos analizados, lo que permitirá establecer el</t>
    </r>
    <r>
      <rPr>
        <b/>
        <sz val="11"/>
        <color theme="9" tint="-0.249977111117893"/>
        <rFont val="Arial"/>
        <family val="2"/>
      </rPr>
      <t xml:space="preserve"> nivel de riesgo inherente</t>
    </r>
    <r>
      <rPr>
        <sz val="11"/>
        <rFont val="Arial"/>
        <family val="2"/>
      </rPr>
      <t xml:space="preserve"> (Columnas Z- AA -AB- AC-AD).</t>
    </r>
  </si>
  <si>
    <r>
      <t xml:space="preserve">Plan de Acción
</t>
    </r>
    <r>
      <rPr>
        <sz val="11"/>
        <rFont val="Arial"/>
        <family val="2"/>
      </rPr>
      <t xml:space="preserve">Responsable, fecha implementación, fecha seguimiento, seguimiento. </t>
    </r>
  </si>
  <si>
    <r>
      <t xml:space="preserve"> -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</si>
  <si>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</si>
  <si>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5 Tabla de probabilidad: </t>
    </r>
    <r>
      <rPr>
        <sz val="11"/>
        <rFont val="Arial Narrow"/>
        <family val="2"/>
      </rPr>
      <t>Tabla referente para todos los cálculos (no se diligencia)</t>
    </r>
  </si>
  <si>
    <r>
      <t xml:space="preserve"> - </t>
    </r>
    <r>
      <rPr>
        <b/>
        <sz val="11"/>
        <rFont val="Arial Narrow"/>
        <family val="2"/>
      </rPr>
      <t xml:space="preserve"> Hoja 6 Tabla de Impacto: </t>
    </r>
    <r>
      <rPr>
        <sz val="11"/>
        <rFont val="Arial Narrow"/>
        <family val="2"/>
      </rPr>
      <t>Tabla referente para todos los cálculos (no se diligencia)</t>
    </r>
  </si>
  <si>
    <r>
      <t xml:space="preserve"> - </t>
    </r>
    <r>
      <rPr>
        <b/>
        <sz val="11"/>
        <rFont val="Arial Narrow"/>
        <family val="2"/>
      </rPr>
      <t xml:space="preserve"> Hoja 7 Tabla de Valoración de Controles: </t>
    </r>
    <r>
      <rPr>
        <sz val="11"/>
        <rFont val="Arial Narrow"/>
        <family val="2"/>
      </rPr>
      <t>Tabla referente para todos los cálculos (no se diligencia)</t>
    </r>
  </si>
  <si>
    <r>
      <t xml:space="preserve">La entidad debe implementar controles orientados a reducir, mitigar o eliminar los riesgos que se puedan presentar. Defina el control (es) considerando la estructura explicada en la guía: </t>
    </r>
    <r>
      <rPr>
        <b/>
        <sz val="11"/>
        <color theme="9" tint="-0.249977111117893"/>
        <rFont val="Arial"/>
        <family val="2"/>
      </rPr>
      <t>Responsable de ejecutar el control + Acción + Complemento</t>
    </r>
    <r>
      <rPr>
        <sz val="11"/>
        <rFont val="Arial"/>
        <family val="2"/>
      </rPr>
      <t xml:space="preserve"> </t>
    </r>
  </si>
  <si>
    <r>
      <t xml:space="preserve">Plan de Manejo de Riesgos
</t>
    </r>
    <r>
      <rPr>
        <sz val="11"/>
        <rFont val="Arial"/>
        <family val="2"/>
      </rPr>
      <t>Accione a tomar, Responsable, fecha de cumplimiento, producto evidencia del cumplimiento</t>
    </r>
  </si>
  <si>
    <t>Matriz de Administración de Riesgos</t>
  </si>
  <si>
    <t>GESTIÓN ESTRATÉGICA</t>
  </si>
  <si>
    <t>GESTIÓN DE PROCESOS</t>
  </si>
  <si>
    <t>GESTIÓN DE PROYECTOS</t>
  </si>
  <si>
    <t>GESTIÓN DE COMUNICACIONES</t>
  </si>
  <si>
    <t>GESTIÓN DE RELACIONAMIENTO E INTERNACIONALIZACIÓN</t>
  </si>
  <si>
    <t>MERCADEO ESTRATÉGICO</t>
  </si>
  <si>
    <t>GESTIÓN DE SERVICIO AL CIUDADANO</t>
  </si>
  <si>
    <t>GESTIÓN ESTRATÉGICA DE PERSONAS</t>
  </si>
  <si>
    <t>GESTIÓN ESTRATÉGICA DE TECNOLOGÍA</t>
  </si>
  <si>
    <t>INVESTIGACIÓN E INNOVACIÓN APLICADA</t>
  </si>
  <si>
    <t>PROSPECTIVA</t>
  </si>
  <si>
    <t>GESTIÓN DE INFORMACIÓN DEL TERRITORIO</t>
  </si>
  <si>
    <t>FORMACIÓN DE SOCIOS ESTRATÉGICOS</t>
  </si>
  <si>
    <t>GESTIÓN DE REGULACIÓN</t>
  </si>
  <si>
    <t>GESTIÓN DE GESTIÓN DE HABILITACIÓN</t>
  </si>
  <si>
    <t>GESTIÓN CATASTRAL</t>
  </si>
  <si>
    <t>GESTIÓN AGROLOGICA</t>
  </si>
  <si>
    <t>GESTIÓN CARTOGRÁFICA</t>
  </si>
  <si>
    <t>GESTIÓN GEODÉSICA</t>
  </si>
  <si>
    <t>GESTIÓN DEL CONOCIMIENTO GEOGRÁFICO</t>
  </si>
  <si>
    <t>GESTIÓN VALUATORIA</t>
  </si>
  <si>
    <t>GESTIÓN PRESUPUESTAL, CONTABLE Y FINANCIERA</t>
  </si>
  <si>
    <t>GESTIÓN DE BIENES Y SERVICIOS</t>
  </si>
  <si>
    <t>GESTIÓN DE SERVICIOS TECNOLÓGICOS</t>
  </si>
  <si>
    <t>EVALUACIÓN Y SEGUIMIENTO</t>
  </si>
  <si>
    <t>No.</t>
  </si>
  <si>
    <t>PROCESO / SUBPROCESO</t>
  </si>
  <si>
    <t>OBJETIVO ESTRÁTEGICO RELACIONADO</t>
  </si>
  <si>
    <t>OBJETIVOS ESTRATÉGICOS</t>
  </si>
  <si>
    <t>Objetivo 1. Capital humano y socios estratégicos competentes</t>
  </si>
  <si>
    <t xml:space="preserve">Objetivo 2. Modelo de Gestión Integrado </t>
  </si>
  <si>
    <t>Objetivo 3. Gobernanza del dato y la información de valor público</t>
  </si>
  <si>
    <t>Objetivo 4. Regulación y política pública con enfoque territorial</t>
  </si>
  <si>
    <t>Objetivo 5. Gestión del Conocimiento para la Innovación aplicada</t>
  </si>
  <si>
    <t>Objetivo 6. Automatización, Integración e Interoperabilidad para el territorio</t>
  </si>
  <si>
    <t>Objetivo 7. Posicionamiento Institucional</t>
  </si>
  <si>
    <t>CAUSAS</t>
  </si>
  <si>
    <t>Legal y reglamentario</t>
  </si>
  <si>
    <t>Político</t>
  </si>
  <si>
    <t>Tecnológico</t>
  </si>
  <si>
    <t>Recursos Financieros-Económicos</t>
  </si>
  <si>
    <t>EXTERNO:</t>
  </si>
  <si>
    <t>INTERNO:</t>
  </si>
  <si>
    <t xml:space="preserve">Económico: Disponibilidad de capital, liquidez, mercados financieros, desempleo, competencia.   </t>
  </si>
  <si>
    <t>Ambiental</t>
  </si>
  <si>
    <t>Planeación</t>
  </si>
  <si>
    <t>Talento Humano</t>
  </si>
  <si>
    <t>Coordinación y Comunicación</t>
  </si>
  <si>
    <t>Otro Interno</t>
  </si>
  <si>
    <t>Legal y reglamentario: Se refiere a todo lo establecido por la ley o que esté conforme con ella.</t>
  </si>
  <si>
    <t>Ambiental: emisiones y residuos, energía, catástrofes naturales, desarrollo sostenible.</t>
  </si>
  <si>
    <t>Político: Cambios de gobierno, políticas públicas, regulación.</t>
  </si>
  <si>
    <t>Sociales y Culturales: Demografía, responsabilidad social, orden público, atentados, vandalismo, asalto a la oficina.</t>
  </si>
  <si>
    <t>Tecnológico: Avances en tecnología, acceso a sistemas de información externos, gobierno digital, suplantación de identidad, virus informáticos.</t>
  </si>
  <si>
    <t>Otro: Se refiere a una categoría diferente a las mencionadas anteriormente.</t>
  </si>
  <si>
    <t>Sociales y Culturales</t>
  </si>
  <si>
    <t>Recursos Financieros-Económicos: Presupuesto de funcionamiento, recursos de inversión, infraestructura, capacidad instalada.</t>
  </si>
  <si>
    <t>Planeación: Se refiere al accionar que tiene que ver con políticas, planes, programas y proyectos al interior de la entidad.</t>
  </si>
  <si>
    <t xml:space="preserve">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t>
  </si>
  <si>
    <t>Procesos: Eventos relacionados con errores en las actividades que deben realizar los servidores de la organización. Falta de procedimientos, errores de grabación, autorización, errores en cálculos para pagos internos y externos y falta de capacidad.</t>
  </si>
  <si>
    <t>Tecnología: Eventos relacionados con la infraestructura tecnológica de la entidad. Daños de quipos, caída de aplicaciones, caída de redes, errores en programas.</t>
  </si>
  <si>
    <t>Infraestructura</t>
  </si>
  <si>
    <t>Infraestructura: Eventos relacionados con la infraestructura física de la entidad. Derrumbes, incendios, inundaciones, daños a activos fijos.</t>
  </si>
  <si>
    <t>Coordinación y Comunicación: Canales utilizados y su efectividad, así como adecuado y oportuno flujo de la información necesaria para el desarrollo de las operaciones.</t>
  </si>
  <si>
    <t>FACTORES DE RIESGO</t>
  </si>
  <si>
    <t xml:space="preserve">Ejecución y administración de procesos </t>
  </si>
  <si>
    <t xml:space="preserve">Fraude externo </t>
  </si>
  <si>
    <t xml:space="preserve">Fallas tecnológicas </t>
  </si>
  <si>
    <t xml:space="preserve">Relaciones laborales </t>
  </si>
  <si>
    <t xml:space="preserve">Usuarios, productos y prácticas </t>
  </si>
  <si>
    <t xml:space="preserve">Eventos externos </t>
  </si>
  <si>
    <t>Fiscal</t>
  </si>
  <si>
    <t xml:space="preserve"> Otro Externo</t>
  </si>
  <si>
    <r>
      <t>Tecnología</t>
    </r>
    <r>
      <rPr>
        <sz val="10"/>
        <color theme="1"/>
        <rFont val="Arial Narrow"/>
        <family val="2"/>
      </rPr>
      <t/>
    </r>
  </si>
  <si>
    <t>IMPACTO PARA LA ENTIDAD</t>
  </si>
  <si>
    <t>INTERNAS</t>
  </si>
  <si>
    <t>EXTERNAS</t>
  </si>
  <si>
    <t>CONSECUENCIAS</t>
  </si>
  <si>
    <t>Aplicabilidad territorial</t>
  </si>
  <si>
    <t>META DEL CONTROL</t>
  </si>
  <si>
    <t>Meta Anual del Control</t>
  </si>
  <si>
    <t>PRODUCTO / ENTREGABLE</t>
  </si>
  <si>
    <t>FECHA DE INICIO</t>
  </si>
  <si>
    <t>FECHA FIN</t>
  </si>
  <si>
    <t>N.A.</t>
  </si>
  <si>
    <t>ZONA DE RIESGO RESIDUAL</t>
  </si>
  <si>
    <t>R9</t>
  </si>
  <si>
    <t>Entregable</t>
  </si>
  <si>
    <t>R52</t>
  </si>
  <si>
    <t>R54</t>
  </si>
  <si>
    <t>CRITERIOS DE IMPACTO</t>
  </si>
  <si>
    <t>R51</t>
  </si>
  <si>
    <t>R50</t>
  </si>
  <si>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</si>
  <si>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</si>
  <si>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Posibilidad de efecto dañoso sobre recursos públicos, por sobrecostos en contratos de la entidad, a causa de la omisión del deber de elaborar estudios de mercado en procesos competitivos.</t>
  </si>
  <si>
    <t>Sobrecostos
Sanciones</t>
  </si>
  <si>
    <t xml:space="preserve">R4 </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</si>
  <si>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</si>
  <si>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</si>
  <si>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R8</t>
  </si>
  <si>
    <t>R11</t>
  </si>
  <si>
    <t>R12</t>
  </si>
  <si>
    <t>R13</t>
  </si>
  <si>
    <t>R14</t>
  </si>
  <si>
    <t>R15</t>
  </si>
  <si>
    <t>R16</t>
  </si>
  <si>
    <t>R17</t>
  </si>
  <si>
    <t>R20</t>
  </si>
  <si>
    <t>GESTIÓN DEL CONOCIMIENTO APLICADO</t>
  </si>
  <si>
    <t>R22</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</si>
  <si>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</si>
  <si>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</si>
  <si>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R24</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</si>
  <si>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</si>
  <si>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Evidencia: Contrato legalizado o Correo electrónico solicitando la inclusión</t>
  </si>
  <si>
    <t>R25</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</si>
  <si>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</si>
  <si>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R26</t>
  </si>
  <si>
    <t>R27</t>
  </si>
  <si>
    <t>R28</t>
  </si>
  <si>
    <t>R29</t>
  </si>
  <si>
    <r>
      <rPr>
        <b/>
        <sz val="11"/>
        <color theme="1"/>
        <rFont val="Arial"/>
        <family val="2"/>
      </rPr>
      <t xml:space="preserve">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</si>
  <si>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R45</t>
  </si>
  <si>
    <t>R56</t>
  </si>
  <si>
    <t>R57</t>
  </si>
  <si>
    <t>R58</t>
  </si>
  <si>
    <t>R60</t>
  </si>
  <si>
    <r>
      <rPr>
        <b/>
        <sz val="11"/>
        <color theme="1"/>
        <rFont val="Arial"/>
        <family val="2"/>
      </rPr>
      <t>Evidencias:</t>
    </r>
    <r>
      <rPr>
        <sz val="11"/>
        <color theme="1"/>
        <rFont val="Arial"/>
        <family val="2"/>
      </rPr>
      <t xml:space="preserve"> Registro vigente firmado por el solicitante de los documentos en Archivo Central</t>
    </r>
  </si>
  <si>
    <t>R61</t>
  </si>
  <si>
    <t>R65</t>
  </si>
  <si>
    <t>Afectación de la Imagen Institucional
Sanciones</t>
  </si>
  <si>
    <t>R66</t>
  </si>
  <si>
    <t>R67</t>
  </si>
  <si>
    <t>R69</t>
  </si>
  <si>
    <t>1. Falta de apropiación e interiorización del Estatuto de Auditoría Interna y Código de ética del auditor.
2. Debilidad en las competencias de los auditores e insuficiente capacitación.</t>
  </si>
  <si>
    <t>R70</t>
  </si>
  <si>
    <t>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</si>
  <si>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r>
      <rPr>
        <b/>
        <sz val="11"/>
        <color theme="1"/>
        <rFont val="Arial"/>
        <family val="2"/>
      </rPr>
      <t xml:space="preserve">Evidencia: </t>
    </r>
    <r>
      <rPr>
        <sz val="11"/>
        <color theme="1"/>
        <rFont val="Arial"/>
        <family val="2"/>
      </rPr>
      <t>Declaratoria del no conflicto de interés por parte de los integrantes del equipo auditor.</t>
    </r>
  </si>
  <si>
    <t>R71</t>
  </si>
  <si>
    <t>Afectación de la imagen institucional
Sanciones</t>
  </si>
  <si>
    <t xml:space="preserve">1. Falta de seguimiento a la realización de las actividades fijadas en la PPDA.
2. Falta de seguimiento a las conciliaciones prejudiciales, demandas y condenas a la entidad que tengan como hecho generador las causas priorizadas en al PPDA.  </t>
  </si>
  <si>
    <r>
      <rPr>
        <b/>
        <sz val="11"/>
        <color theme="1"/>
        <rFont val="Arial"/>
        <family val="2"/>
      </rPr>
      <t xml:space="preserve">
Evidencia: </t>
    </r>
    <r>
      <rPr>
        <sz val="11"/>
        <color theme="1"/>
        <rFont val="Arial"/>
        <family val="2"/>
      </rPr>
      <t xml:space="preserve">Correo electrónico remitido al apoderado sobre  manifestación de conflicto de interés,  inhabilidad o incompatibilidad, y si aplica, la manifestación hecha por este por correo o memorando </t>
    </r>
  </si>
  <si>
    <t>1. No manifestación de conflicto de interés, inhabilidad o incompatibilidad para actuar dentro del proceso.</t>
  </si>
  <si>
    <t>Posibilidad de afectación Económica y Reputacional por multas y sanciones debido a  inconsistencias en la afiliación a la ARL de los contratistas por prestación de servicios .</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</si>
  <si>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y Direcciones Territoriales: Observaciones y respuestas del proceso en la plataforma SECOP II (si aplica).</t>
  </si>
  <si>
    <r>
      <rPr>
        <b/>
        <sz val="11"/>
        <color theme="1"/>
        <rFont val="Arial"/>
        <family val="2"/>
      </rPr>
      <t>Sede Central y Direcciones Territoriales::</t>
    </r>
    <r>
      <rPr>
        <sz val="11"/>
        <color theme="1"/>
        <rFont val="Arial"/>
        <family val="2"/>
      </rPr>
      <t xml:space="preserve"> Observaciones y respuestas del proceso en la plataforma SECOP II (si aplica).
</t>
    </r>
    <r>
      <rPr>
        <b/>
        <sz val="11"/>
        <color theme="1"/>
        <rFont val="Arial"/>
        <family val="2"/>
      </rPr>
      <t/>
    </r>
  </si>
  <si>
    <t>1. Aplicación inadecuada de los procedimientos del proceso.
2. Actos intencionales de personal al interior de la entidad para saltar los controles en las etapas del proceso contractual.
3. Inaplicación de los manuales y guías de Colombia Compra Eficiente (CCE).</t>
  </si>
  <si>
    <t>Posibilidad de direccionar el proceso de selección en beneficio propio o de terceros para la adjudicación de un contrato.</t>
  </si>
  <si>
    <t xml:space="preserve">Posibilidad de recibir o solicitar dádiva o beneficio por la habilitación de un gestor catastral no idóneo para la prestación del servicio publico catastral con el fin de obtener un beneficio propio o de un tercero </t>
  </si>
  <si>
    <t>1. Intereses particulares
2. Conflictos de interés presentados durante el proceso de evaluación.
3. Presión de niveles jerárquicos superiores para influenciar el resultado de la evaluación.</t>
  </si>
  <si>
    <t>Afectación de la imagen institucional
Sanciones
Deshabilitación</t>
  </si>
  <si>
    <t xml:space="preserve">Soporte: Registros de asistencia, Oficios para el solicitante con los requerimientos  y/o Concepto Técnico
</t>
  </si>
  <si>
    <t>1. Falta de socialización y publicación de los proyectos normativos.
2. Falta de generación de espacios internos y externos de participación previo a la expedición del acto administrativo teniendo en cuenta los requerimientos de ley.
3. Falta de control  en los cambios del proyecto normativo a lo largo del procedimiento de regulación (Versionamiento).</t>
  </si>
  <si>
    <t>El Director de Regulación y Habilitación verifica el contenido del proyecto de Acto administrativo del subproceso de regulación, posteriormente envía para revisión de la Oficina Asesora Jurídica previa aprobación de esta y firma por parte de la Dirección General. 
Periodicidad: Variable
Evidencia: Correo de envío del proyecto de Acto Administrativo al proceso a la Oficina Asesora Jurídica y Acto administrativo firmado por la Dirección General</t>
  </si>
  <si>
    <t>Afectación de la Imagen Institucional
Reprocesos
Perdida de Información</t>
  </si>
  <si>
    <t>1. Falta de condiciones de seguridad física a los depósitos de archivo de la entidad.
2. Falta de control de préstamos documentales al interior de la entidad.
3. Intereses particulares
4. Desactualización del inventario documental.</t>
  </si>
  <si>
    <t>Afectación de la Imagen del proceso
Reprocesos</t>
  </si>
  <si>
    <t>Posibilidad de pérdida Reputacional por insatisfacción de los usuarios internos debido a una deficiente ejecución en la calidad del ejercicio auditor</t>
  </si>
  <si>
    <t>Afectación de la imagen del proceso de evaluación y seguimiento</t>
  </si>
  <si>
    <t xml:space="preserve">El Jefe de la Oficina de Control Interno (OCI) realiza la consolidación semestral de las evaluaciones a los auditores con el fin de verificar desempeño del auditor . En caso de presentar resultados deficientes, se procede a realizar planes de mejoramiento individuales para corregir o subsanar los resultados. 
Periodicidad: Semestral
Evidencia: Resultados de la evaluación a los auditores y/o plan de mejoramiento individual (si aplica). </t>
  </si>
  <si>
    <t xml:space="preserve">Posibilidad de recibir o solicitar dádiva o beneficio por omisión y/o encubrimiento deliberado durante la revisión y verificación de situaciones irregulares conocidas y/o encontradas en el proceso auditor, para favorecimiento propio o de terceros </t>
  </si>
  <si>
    <t>Afectación de la imagen institucional y del proceso
Sanciones</t>
  </si>
  <si>
    <t>ESTADO</t>
  </si>
  <si>
    <t>APROBADO</t>
  </si>
  <si>
    <t>INACTIVO</t>
  </si>
  <si>
    <t>El Director de Regulación y Habilitación socializa con las Direcciones y Subdirecciones Misionales, y Direcciones Territoriales y gestores catastrales, los proyectos de acto normativo, con el fin de verificar el proyecto normativo y realizar ajustes al mismo.
Periodicidad: Variable
Evidencia: Listas de asistencia.</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</si>
  <si>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proyecto normativo con las observaciones correspondientes si aplica.</t>
  </si>
  <si>
    <t xml:space="preserve">Posibilidad de pérdida Reputacional y afectación económica por quejas o sanciones de los grupos de valor debido al incumplimiento de los estándares de producción (Oportunidad) en la prestación del servicio público Catastral por excepción </t>
  </si>
  <si>
    <t>Afectación de la imagen institucional
Sanciones
Afectación a terceros</t>
  </si>
  <si>
    <t xml:space="preserve">Posibilidad de recibir o solicitar dádiva o beneficio en la prestación de servicios o trámites catastrales, con el fin de obtener un beneficio propio o de un tercero. </t>
  </si>
  <si>
    <t xml:space="preserve">Posibilidad de pérdida Reputacional y económica por quejas de las partes interesadas y/o sanciones de entes reguladores debido a la inoportunidad en los tiempos establecidos (30 días hábiles) para la entrega de los avalúos comerciales </t>
  </si>
  <si>
    <t>Posibilidad de efecto dañoso sobre bienes públicos por pérdida, extravío, hurto de bienes muebles en bodega de almacén pertenecientes a la entidad, a causa de la omisión en la aplicación de controles de seguridad en la custodia de los activos o  elementos, en la aplicación de control en la custodia de los bienes en las instalaciones del Almacén, falencias en el registro de ingresos y egresos en el aplicativo de inventarios y desconocimiento de los lineamientos de manejo de inventarios.</t>
  </si>
  <si>
    <t>GESTIÓN DE IDE CORPORATIVA</t>
  </si>
  <si>
    <t>Posibilidad de pérdida Reputacional por sanciones de entes de control debido a la implementación inadecuada de la Política de prevención del daño antijurídico - PPDA</t>
  </si>
  <si>
    <t>Posibilidad de recibir o solicitar dádiva para dar respuesta indebida o fuera de los términos legales, a los procesos judiciales en beneficio propio o de un tercero</t>
  </si>
  <si>
    <t>1. Exceso de procesos disciplinarias
2. Falta de personal
3. Falta de respuesta o inoportunidad, por parte de las dependencias  requeridas en curso del proceso disciplinario.</t>
  </si>
  <si>
    <t>Afectación de la Imagen Institucional
Sanciones
Quejas</t>
  </si>
  <si>
    <t xml:space="preserve">1. Deficiente o inadecuado control y seguimiento de las actuaciones llevadas a cabo en curso de los procesos disciplinarios, en las diferentes etapas.
2. Incumplimiento de las funciones y obligaciones por parte de los servidores públicos y contratistas asignados a los procesos disciplinarios. </t>
  </si>
  <si>
    <t>mpa</t>
  </si>
  <si>
    <t xml:space="preserve">Posibilidad de recibir o solicitar dádiva o beneficio  por el uso del servicio de transporte del IGAC en beneficio propio o de terceros.
</t>
  </si>
  <si>
    <t xml:space="preserve">El profesional de la Subdirección de Talento Humano que tiene a cargo la transferencia de conocimiento, junto con los jefes inmediatos de la Entidad, revisan anualmente el nivel de criticidad del empleo, identificando su incidencia en los productos, servicios y proyectos del área, con el propósito de identificar las actividades de transferencia a implementar. En caso de encontrar que cambió el nivel de criticidad del empleo, se actualiza la respectiva matriz y se ejecutan las actividades de transferencia correspondientes.
Periodicidad: Anual
Evidencias: Correos electrónicos y/o actas de reunión con la identificación del nivel de criticidad del empleo y de las estrategias a implementar en cada caso, matriz de empleos con nivel de criticidad </t>
  </si>
  <si>
    <t>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 por parte de los usuarios</t>
  </si>
  <si>
    <t>Afectación de la Imagen de la entidad
Hallazgos
Quejas
Reclamos
Sanciones
Posible daño antijurídico</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</si>
  <si>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trimestre.  </t>
  </si>
  <si>
    <t>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
5. Sacar o insertar documentos cuando se presta la carpeta de la historia laboral a un servidor o contratista de la STH, lo cual no puede ser revisado por las auxiliares de archivo debido a que la documentación no se encuentra foliada.</t>
  </si>
  <si>
    <t>Afectación de la Imagen Institucional
Demandas
Tutelas
Sanciones
Reprocesos</t>
  </si>
  <si>
    <t>El servidor público designado por la Subdirección de Talento Humano para la expedición del certificado electrónico de tiempos laborados, registra los factores salariales de los servidores y/o exservidores de sede central que realizan las solicitud del CETIL en la base de datos dispuesta para tal fin y  hace seguimiento de los casos activos asignados a las Territoriales que se encuentren en la plataforma dispuesta por el Ministerio de Hacienda . En caso de encontrar fechas próximas a vencer reitera a los pagadores de las Direcciones Territoriales, con copia al respectivo director territorial, para que agilicen el registro de la información correspondiente o en su defecto si la territorial presenta retraso, se envia un memorando al director territorial y si no hay respuesta se escala a la oficina de control interno disciplinario.
Periodicidad: Mensual
Evidencias: Base de datos en Excel del seguimiento, oficios o correos electrónicos dando respuesta a las solicitudes, o correos electrónicos reiterando la información a quien corresponda</t>
  </si>
  <si>
    <t xml:space="preserve">
Posibilidad de afectación Económica y Reputacional por multas o sanciones de Autoridades competentes  debido al incumplimiento normativo ambiental</t>
  </si>
  <si>
    <t>Sanciones
Multas
Afectación de la Imagen Institucional
Afectación de los componentes del ambiente (Agua y suelo)</t>
  </si>
  <si>
    <t>El Responsable del SGA de la Oficina Asesora de Planeación  actualiza la Matriz de identificación y cumplimiento legal Ambiental y la Matriz de Identificación de aspectos y valoración de impactos ambientales con el fin de revisar las actividades y normatividad ambiental vigente. En caso de encontrar desviaciones, el responsable del SGA ajustará las matrices y sensibilizará al proceso afectado a través de los medios de comunicación definidos por la entidad.
Periodicidad: Semestral
Evidencia:  Matriz de identificación y cumplimiento legal Ambiental actualizada y Matriz de Identificación de aspectos y valoración de impactos ambientales actualizada y registros de asistencia (si aplica).</t>
  </si>
  <si>
    <t xml:space="preserve">1. Documentación incompleta, desactualizada o falsa respecto a la acreditación de cumplimiento de requisitos 
</t>
  </si>
  <si>
    <t xml:space="preserve">
1. Falta de ética y valores
2. Falta de formación en la elaboración de procesos contractuales
3. Desconocimiento de la normatividad vigente frente al tema contractual
4. Faltan lineamientos claros para la elaboración de los procesos contractuales</t>
  </si>
  <si>
    <t>Afectación de la imagen institucional y del proceso
Sanciones
Afectación económica</t>
  </si>
  <si>
    <t>Los profesionales designados por la DTIC y las subdirecciones, definen y establecen los planes (PLAN DE ACCIÓN, PETIC, PESI, PETRSI) con el fin de implementar las actividades que contribuyan con el fortalecimiento de las estratégias e iniciativas en el Marco de Referencia de Arquitectura TI y en las Políticas de Gobierno y Seguridad Digital .
Periodicidad:  Anual
Evidencia: Planes  (PETIC, PESI, PETRSI) aprobados para la vigencia</t>
  </si>
  <si>
    <t>R6</t>
  </si>
  <si>
    <t>Afectación de la Imagen Institucional
Sanciones
Reprocesos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</si>
  <si>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</si>
  <si>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R10</t>
  </si>
  <si>
    <t>Posibilidad de afectación económica y pérdida reputacional por demandas o sanciones de entes competentes, debido a la materialización de accidentes de trabajo o enfermedades laborales de servidores públicos y contratistas</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</si>
  <si>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última fecha de actualización y la firma del profesional que elaboró (con licencia de SST).</t>
  </si>
  <si>
    <t>Meta I Cuatrimestre</t>
  </si>
  <si>
    <t>Meta II Cuatrimestre</t>
  </si>
  <si>
    <t>Meta III Cuatrimestre</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</si>
  <si>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</si>
  <si>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t>
  </si>
  <si>
    <t xml:space="preserve">  
Evidencia: Reporte de GLPI de permisos designados al repositorio único de información de la Dirección.</t>
  </si>
  <si>
    <t xml:space="preserve">Posibilidad de pérdida reputacional y afectación económica, por demandas de grupos de valor solicitando la nulidad de la regulación expedida por la entidad </t>
  </si>
  <si>
    <t>El  funcionario designado por la Subdirección de proyectos o DGC ,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</si>
  <si>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1. Falta de verificación de información al momento de la afiliación
2. Falta de cobertura teniendo en cuenta el plazo de ejecución del contrato.
3. Identificación incorrecta del nivel de riesgo teniendo en cuenta lo contemplado en los estudios previos.</t>
  </si>
  <si>
    <t xml:space="preserve">
1. Falta de sistematización del proceso. (Todo el proceso se realiza en archivos excel)
2. Complejidad en el procesamiento de la información y estructuración de las bases de datos
3. Información inexacta o errada reportada por parte de las áreas
4. Solicitud por fuera de términos de la información por parte de la OAP
5. Información incompleta o reportada inoportunamente por parte de las áreas.</t>
  </si>
  <si>
    <t>1. Inaplicabilidad de la norma por vacíos técnicos y conceptuales.</t>
  </si>
  <si>
    <t xml:space="preserve"> 1. Falta de especificidad de las clausulas contractuales para la ejecución y entrega de avalúos comerciales.</t>
  </si>
  <si>
    <t>1. Omisión del deber de elaborar estudios de mercado en procesos competitivos.</t>
  </si>
  <si>
    <t>R73</t>
  </si>
  <si>
    <t>R74</t>
  </si>
  <si>
    <t>R75</t>
  </si>
  <si>
    <t>R77</t>
  </si>
  <si>
    <t>R78</t>
  </si>
  <si>
    <t>R80</t>
  </si>
  <si>
    <t>R81</t>
  </si>
  <si>
    <t>1.  Desconocimiento u omisión de los compromisos y responsabilidades de la Entidad frente el sector y el nivel nacional yo normatividad existente, por parte de los responsables de la formulación de los ejercicios de planeación.
2. Desconocimiento de los procedimientos, metodologías, herramientas y lineamientos dados para la formulación de los ejercicios de planeación, por parte de los responsables de la formulación de los ejercicios de planeación.
3. Aplicación errónea de criterios o instrucciones por parte de los responsables de la formulación, durante los ejercicios de planeación.</t>
  </si>
  <si>
    <t xml:space="preserve">     El riesgo afecta la imagen de la entidad internamente, de conocimiento general, nivel interno, de junta directiva y accionistas y/o de proveedores</t>
  </si>
  <si>
    <t>Los responsables  del subproceso de Gestión de Comunicaciones, semestralmente, realizan una encuesta de percepción sobre los mensajes publicados a través de los canales de comunicación internos y externo (según aplique), con el fin de verificar que la información difundida sea clara, oportunidad, con calidad y tenga en cuenta las recomendaciones de las partes interesadas.
Periodicidad: Semestral
Evidencia: Informe con los resultados de las encuestas.(Interna y Externa)</t>
  </si>
  <si>
    <t>Afectación de la Imagen Institucional
Reprocesos
Sanciones Disciplinarias
Quejas</t>
  </si>
  <si>
    <t>Afectación de la Imagen de la entidad
Sanciones
Demandas
Queja
Reclamos</t>
  </si>
  <si>
    <t>1. Recurso humano especializado insuficiente para atender las necesidades del proceso.
2.Formulación inadecuada de estrategias, proyectos, iniciativas y planes, de acuerdo  con lo establecido en el Marco de Referencia de Arquitectura TI y en las Políticas de Gobierno y Seguridad Digital .
3. Resistencia en las políticas y lineamientos dados por la DTIC
4. Falta de seguimiento a la ejecución de estrategias, proyectos, iniciativas y planes formulados por el proceso.
5. Desconocimiento de la normatividad vigente</t>
  </si>
  <si>
    <t xml:space="preserve">Afectación de la Imagen Institucional
Quejas
Reclamos
Afectación económica </t>
  </si>
  <si>
    <t>Afectación de la Imagen Institucional
Reprocesos
Quejas
Reclamos
Pérdida de clientes</t>
  </si>
  <si>
    <t>Afectación de la Imagen Institucional
Quejas
Reclamos</t>
  </si>
  <si>
    <t>Afectación de la Imagen Institucional
Reprocesos
Inseguridad Jurídica de los Actos normativos de regulación</t>
  </si>
  <si>
    <t>Afectación de la Imagen Institucional
Demandas
Reprocesos</t>
  </si>
  <si>
    <t>El Responsable de la Dirección de Regulación y Habilitación  en caso de que se demande la nulidad del acto administrativo de regulación, recibe comunicación de la oficina asesora jurídica informando del proceso judicial, para aportar argumentos, insumos y evidencias que permitan ejercer el derecho de defensa de la entidad. 
Periodicidad: Variable
Evidencia: Correo electrónico o memorando con respuesta la oficina asesora jurídica</t>
  </si>
  <si>
    <t>Afectación de la Imagen Institucional
Quejas
Sanciones
Reprocesos
Tutelas</t>
  </si>
  <si>
    <t>Afectación de la Imagen Institucional
Quejas
Sanciones
Reprocesos</t>
  </si>
  <si>
    <t>Afectación de la Imagen Institucional
Quejas
Sanciones 
Reducción en el presupuesto</t>
  </si>
  <si>
    <t>Afectación de la Imagen Institucional
Sanciones 
Multas</t>
  </si>
  <si>
    <t>Afectación de la Imagen del proceso
Afectación de la Póliza
Investigaciones Disciplinarias</t>
  </si>
  <si>
    <t>Afectación de la Imagen Institucional
Condenas
Aumento de la litigiosidad de la entidad que tengan como hecho generador las causas priorizadas en la PPDA</t>
  </si>
  <si>
    <t>1. Débil de seguimiento a la implementación de los instrumentos archivísticos
2.  Desconocimiento de los lineamientos y normas aplicables a la gestión documental.
3. Falta de recurso humano para la implementación del proceso de gestión documental
4. Falta y/o inadecuada capacidad de almacenamiento físico y/o electrónico.</t>
  </si>
  <si>
    <t>Posibilidad de pérdida Reputacional por insatisfacción de los grupos  de valor debido a la inadecuada implementación de los instrumentos archivísticos</t>
  </si>
  <si>
    <t>Los responsables designados por el proceso Gestión Documental en sede central y en Direcciones Territoriales realizan seguimiento a la implementación de instrumentos archivísticos asociados al Programa de Gestión Documental - PGD, con el de verificar la adecuada implementación de los mismos .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</si>
  <si>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r>
      <t>1. Gestión inoportuna de los casos en la mesa de servicios del Instituto, teniendo en cuenta los acuerdos de nivel de servicio. 
2. Demoras en la contratación de bienes y servicios tecnológicos.
3. Insuficiente personal (funcionarios y contratistas) para atender las solicitudes de soporte de usuario final.
4. Deficiencia en el seguimiento a los casos radicados en la mesa de servicios de TI.
5.Falta de lineamientos y/o procedimientos sobre la gest</t>
    </r>
    <r>
      <rPr>
        <sz val="10"/>
        <color theme="1"/>
        <rFont val="Arial"/>
        <family val="2"/>
      </rPr>
      <t>i</t>
    </r>
    <r>
      <rPr>
        <sz val="11"/>
        <color theme="1"/>
        <rFont val="Arial"/>
        <family val="2"/>
      </rPr>
      <t xml:space="preserve">ón de servicios de TI
6. Falta de entrenamiento para la clasificación y atención de casos.
7. Fallas en la infraestructura tecnológica.
8. Inoportunidad en la ejecución de mantenimientos preventivos de la infraestructura tecnológica de la entidad.
9. Cambios tecnológicos no controlados o con deficiencias en la implementación
</t>
    </r>
  </si>
  <si>
    <t>1. Poca demanda de personal especializado para la atención de casos de servicios tecnológicos
2. Fallas en la cadena de suministro de servicios tecnológicos
3. Dificultades de asignación presupuestal para la adquisición de bienes y servicios tecnológicos
4. Variaciones en la Tasa Representativa Monetaria</t>
  </si>
  <si>
    <t>Posibilidad de pérdida Reputacional y económica por quejas o reclamos de los grupos de valor debido a la indisponibilidad de los servicios tecnológicos</t>
  </si>
  <si>
    <t>Afectación de la Imagen Institucional
Quejas
Indisponibilidad de los servicios tecnológicos
Reprocesos
Afectación económica</t>
  </si>
  <si>
    <t>Disminución en la calidad de los servicios de la IDE
Reprocesos
Insatisfacción de usuarios internos
Afectación de la imagen del proceso y de la entidad</t>
  </si>
  <si>
    <r>
      <t xml:space="preserve">
El funcionario o contratista con funciones de reparto y control de procesos en Sede Central, junto con el reparto  de los mismos verifica que el apoderado efectúe si aplica o no,  la  manifestación de conflicto de interés, inhabilidad o incompatibilidad para actuar en el proceso judicial. 
</t>
    </r>
    <r>
      <rPr>
        <b/>
        <sz val="11"/>
        <color theme="1"/>
        <rFont val="Arial"/>
        <family val="2"/>
      </rPr>
      <t xml:space="preserve">Periodicidad: </t>
    </r>
    <r>
      <rPr>
        <sz val="11"/>
        <color theme="1"/>
        <rFont val="Arial"/>
        <family val="2"/>
      </rPr>
      <t xml:space="preserve">Trimestral.
</t>
    </r>
    <r>
      <rPr>
        <b/>
        <sz val="11"/>
        <color theme="1"/>
        <rFont val="Arial"/>
        <family val="2"/>
      </rPr>
      <t>Evidencia:</t>
    </r>
    <r>
      <rPr>
        <sz val="11"/>
        <color theme="1"/>
        <rFont val="Arial"/>
        <family val="2"/>
      </rPr>
      <t xml:space="preserve"> Correo electrónico remitido al apoderado sobre  manifestación de conflicto de interés,  inhabilidad o incompatibilidad, y si aplica, la manifestación hecha por este por correo o memorando</t>
    </r>
  </si>
  <si>
    <r>
      <t xml:space="preserve">Evidencia: </t>
    </r>
    <r>
      <rPr>
        <sz val="11"/>
        <color theme="1"/>
        <rFont val="Arial"/>
        <family val="2"/>
      </rPr>
      <t>Matriz de seguimiento a los procesos contractuales y registros de asistencia.</t>
    </r>
  </si>
  <si>
    <t>El Jefe de la Oficina de Control Interno (OCI) realiza la verificación del formato No Conflicto de interés,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</si>
  <si>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t>Evidencia: Reporte de  la revisión de quejas y denuncias</t>
  </si>
  <si>
    <t>Posibilidad de sustanciar decisiones contrarias a derecho por efecto de animadversiones, enemistades, amistades intimas o cualquier otra situacion de carácter  subjetivo, asi como favorecer a los sujetos procesales con decisiones tomadas por efecto de recibimiento o dadivas o favores</t>
  </si>
  <si>
    <r>
      <rPr>
        <b/>
        <sz val="11"/>
        <color theme="1"/>
        <rFont val="Arial"/>
        <family val="2"/>
      </rPr>
      <t xml:space="preserve">Evidencia: </t>
    </r>
    <r>
      <rPr>
        <sz val="11"/>
        <color theme="1"/>
        <rFont val="Arial"/>
        <family val="2"/>
      </rPr>
      <t xml:space="preserve">  Lista de asistencia a mesa de trabajo.</t>
    </r>
  </si>
  <si>
    <t>SEGUIMIENTO A RIESGOS I CUATRIMESTRE 2024</t>
  </si>
  <si>
    <t xml:space="preserve">REPORTE DE APLICACIÓN CONTROL DEL PROCESO </t>
  </si>
  <si>
    <t>PERSONA QUIEN REPORTA EL SEGUIMIENTO</t>
  </si>
  <si>
    <t>¿EL RIESGO SE MATERIALIZÓ EN EL PERIODO REPORTADO?</t>
  </si>
  <si>
    <t>menor</t>
  </si>
  <si>
    <t>1. Omisión en la aplicación de controles de seguridad en la custodia de los activos o  elementos.
2. Omisión en la aplicación de control en la custodia de los bienes en las instalaciones del Almacén.
3. Falencias en el registro de ingresos y egresos en el aplicativo de inventarios.</t>
  </si>
  <si>
    <t>1. Asignación de vehículos sin surtir los trámites respectivos.
2. Falta de apropiación de los valores institucionales</t>
  </si>
  <si>
    <r>
      <rPr>
        <b/>
        <sz val="11"/>
        <color theme="1"/>
        <rFont val="Arial"/>
        <family val="2"/>
      </rPr>
      <t xml:space="preserve">Sede Central: </t>
    </r>
    <r>
      <rPr>
        <sz val="11"/>
        <color theme="1"/>
        <rFont val="Arial"/>
        <family val="2"/>
      </rPr>
      <t xml:space="preserve">
1.) Print de pantalla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en excel y/o Print de pantalla de los casos generados durante el trimestre en la plataforma tecnológica.</t>
    </r>
  </si>
  <si>
    <r>
      <t xml:space="preserve">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t>
    </r>
    <r>
      <rPr>
        <b/>
        <sz val="11"/>
        <color theme="1"/>
        <rFont val="Arial"/>
        <family val="2"/>
      </rPr>
      <t xml:space="preserve">
Periodicidad: </t>
    </r>
    <r>
      <rPr>
        <sz val="11"/>
        <color theme="1"/>
        <rFont val="Arial"/>
        <family val="2"/>
      </rPr>
      <t xml:space="preserve">Trimestral
</t>
    </r>
    <r>
      <rPr>
        <b/>
        <sz val="11"/>
        <color theme="1"/>
        <rFont val="Arial"/>
        <family val="2"/>
      </rPr>
      <t xml:space="preserve">Evidencias 
Sede Central: </t>
    </r>
    <r>
      <rPr>
        <sz val="11"/>
        <color theme="1"/>
        <rFont val="Arial"/>
        <family val="2"/>
      </rPr>
      <t xml:space="preserve">
1.) Print de pantalla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en excel y/o Print de pantalla de los casos generados durante el trimestre en la plataforma tecnológica.
</t>
    </r>
  </si>
  <si>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Cuatrimestral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 Fecha Final ,Cobertura Inicial ARL, Cobertura Final ARL , Nivel Riesgo- Estudios Previos, Entidad Aseguradora, Estado, Observación ;Novedad Realizada </t>
  </si>
  <si>
    <t>1. Situaciones de orden Público en  los municipios a Intervenir
2. Condiciones medioambientales que afectan la prestación del servicio.
3. Falta de completitud de la documentación técnica para atender la orden judicial.
4. Accidentes en los desplazamientos para realizar la actividad valuatoria.
5. Falta de acompañamiento a los peritos avaluadores para las visitas de campo asociados a la restitución de tierras (despachos judiciales)</t>
  </si>
  <si>
    <t xml:space="preserve">1. Situaciones de orden Público en  los municipios a Intervenir
2. Condiciones medioambientales que afectan la prestación del servicio.
3.No contar con información  completa, actualizada, consistente derivada de las entidades fuente de información para realizar los procesos de caracterización y aprestamiento de las intervenciones.
4. Falta de personal capacitado en los municipios donde se realizan los procesos de formación y/o actualización catastral y demoras en la contratación.
5.Incumplimientos en las caracteristicas o tiempos de entrega de los productos o servicios contratados con socios estratégicos.
</t>
  </si>
  <si>
    <t>1. No contar con información  completa, actualizada, consistente derivada de los procesos misionales que intervienen en los proyectos de formación y/o actualización.
2. Incumplimiento de la metodologia del Sistema de Gestión Integrado del IGAC, de la normativa aplicable o de los entregables por etapa solicitados tecnicamente respecto del tiempo, la forma, contenido y estructura de los documentos entregados 
3. Fallas en el funcionamiento de las herramientas tecnologicas y de respaldo (hardware y software) ante perdida o imposibilidad de transmisión de la informacion.</t>
  </si>
  <si>
    <t>El funcionario o contratista designado por el Subdirector de Proyectos remite correo de solicitud de información necesaria para la gestión de los proyectos a las entidades fuente de información y a las areas misionales involucradas, con el fin de poder continuar con el proceso y dar cumplimiento a los tiempos establecidos.
Periodicidad: Variable
Evidencia:  Muestra de los oficios y solicitudes (entidades fuente de información y/o memorandos a las areas misionales</t>
  </si>
  <si>
    <t>Los funcionarios y/o contratistas designados por el Subdirector de Proyectos analizan, clasifican y direccionan las alertas relacionadas con temas tecnologicos, a los responsables y hacen seguimiento al cierre de la alerta.
Periodicidad: Variable
Evidencia: Matriz de alertas</t>
  </si>
  <si>
    <t>El Subdirector de Proyectos y el Director de Gestión Catastral  elaboran el cronograma y tablero de control de ejecución del proceso de formación o actualización catastral (operación directa y tercerizada) a partir del inicio del proyecto.  
La dirección de gestión catastral y las áreas que sean requeridas en el marco del proceso, realizan seguimiento 2 veces al mes al cronograma de ejecución con el fin de identificar retrasos, causas y definir las acciones a realizar para el cumplimiento.
Periodicidad: Quincenal.
Evidencia:  Presentación comité de seguimiento y/o listas de asistencia al seguimiento y/o actas de reunión.</t>
  </si>
  <si>
    <t>Evidencia:  Matriz consolidada y/o informe consolidado</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</si>
  <si>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Evidencia: </t>
    </r>
    <r>
      <rPr>
        <sz val="11"/>
        <color theme="1"/>
        <rFont val="Arial"/>
        <family val="2"/>
      </rPr>
      <t xml:space="preserve">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</si>
  <si>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1. Trámitadores</t>
  </si>
  <si>
    <t>1. Falta de personal.
2. Falta de apropiación de los valores institucionales.
3. Deficiencias en el seguimiento por parte de las direcciones territoriales.</t>
  </si>
  <si>
    <r>
      <t xml:space="preserve">Los Enlaces Territoriales de la Sede central realizan el seguimiento a la ejecución de los trámites catastrales con el fin de verificar el cumplimiento de los mismos y los lineamientos, en el cual se identifica retrasos, causas y se definen las acciones a realizar para el cumplimiento.
Periodicidad: Trimestral
</t>
    </r>
    <r>
      <rPr>
        <b/>
        <sz val="11"/>
        <color theme="1"/>
        <rFont val="Arial"/>
        <family val="2"/>
      </rPr>
      <t xml:space="preserve">Evidencia: </t>
    </r>
    <r>
      <rPr>
        <sz val="11"/>
        <color theme="1"/>
        <rFont val="Arial"/>
        <family val="2"/>
      </rPr>
      <t xml:space="preserve"> Matriz consolidada y/o informe consolidado</t>
    </r>
  </si>
  <si>
    <t>El responsable designado por el Director de Investigación y Prospectiva, realiza la divulgación de los resultados de la Vigilancia Tecnológica en el Comité de Investigación, Desarrollo Tecnológico e Innovación, con el fin de dar a conocer los resultados de tendencias en tecnologias y métodos como insumo para la toma de decisiones y la mejora de los procesos.
Periodicidad: Anual 
Evidencia: Acta del Comité de Investigación, Desarrollo Tecnológico e innovación</t>
  </si>
  <si>
    <t>El responsable designado por el director de Investigación y Prospectiva, realiza seguimiento al  Plan de documentación del proceso de Gestión del Conocmiento Aplicado y subprocesos con el fin verificar el cumplimiento del mismo. Si se incumple con una fecha, se reprograma dentro de la vigencia.
Periodicidad: Semestral
Evidencia: Matriz de seguimiento al  Plan de documentación y/o acta de reunión.</t>
  </si>
  <si>
    <t>1. Pérdida de personal cualificado por la alta rotación en funcionarios y contratistas.
2. Fallas en los equipos tecnológicos, obsolescencia o no calibración de los mismos.
3. No tener las suficientes  licencias de software o licencia de uso o desactualización de las mismas para los sistemas de información requeridos.
4. Deficiencias en la verificación de los requeriemientos definidos para los productos durante su producción o en la prestación del servicio.
5. Desactualización de los documentos, productos o servicios frente a las especificaciones técnicas internacionales o nacionales.
6. Falta de documentación frente a  algunas actividades de relevancia para el desarrollo del proceso.</t>
  </si>
  <si>
    <t>El Director de Investigación y Prospectiva, verifica mensualmente el cumplimiento de las actividades propuestas en el Plan de Acción Anual (PAA)  y los cronogramas de los proyectos en el que se incluyen los cuatro subprocesos del proceso de Gestión del Conocimiento Aplicado,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</si>
  <si>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El Funcionario y/o contratista delegado por el Director de Investigación y Prospectiva,  realiza quincenalmente el seguimiento al estado de las peticiones descargando el reporte de SIGAC (tanto de la Dirección de Investigación y Prospectiva como del Observatorio Inmobiliario Catastral). En caso de encontrar peticiones que no se han respondido, informa al responsable antes de vencer el plazo de respuesta y comunica al Director de Investigación y Prospectiva, sobre las peticiones pendientes por responder. 
Periodicidad: Quincenal
Evidencia:  Reporte de pendientes del aplicativo de correspondencia y/o correos electrónicos informando las peticiones pendientes (según sea el caso).</t>
  </si>
  <si>
    <t>1.  Contingencias (Orden público, Clima) que dificulten los desplazamientos de personal para realizar trabajos en campo</t>
  </si>
  <si>
    <r>
      <t xml:space="preserve">1. Demoras en los procesos contractuales 
2. Baja capacidad institucional, por la alta rotación de personal, se pierde continuidad y conocimientos de funcionarios y contratistas.
3. Deficiencia en la comunicación y coordinación dentro de los procesos del IGAC para la entrega de productos internos a tiempo.
</t>
    </r>
    <r>
      <rPr>
        <sz val="11"/>
        <color theme="1"/>
        <rFont val="Arial"/>
        <family val="2"/>
      </rPr>
      <t>4. No tener las suficientes  licencias de software o licencias de uso o desactualización de las mismas para los sistemas de información requeridos.</t>
    </r>
  </si>
  <si>
    <r>
      <t xml:space="preserve">1. Inadecuado control del repositorio de la información del proceso.
2. Tráfico de influencias
3. Falta de apropiación de valores institucionales.
</t>
    </r>
    <r>
      <rPr>
        <strike/>
        <sz val="11"/>
        <color rgb="FFFF0000"/>
        <rFont val="Arial"/>
        <family val="2"/>
      </rPr>
      <t/>
    </r>
  </si>
  <si>
    <t>El Funcionario y/o contratista delegado por el Director de Investigación y Prospectiva, cuatrimestralmente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Periodicidad: cuatrimestral
Evidencia: Reporte de GLPI de permisos designados al repositorio único de información de la Dirección.</t>
  </si>
  <si>
    <t>Posibilidad de afectación Económica y pérdida Reputacional por insatisfacción o sanciones de las partes interesadas debido a la difusión de información de la gestión institucional incompleta o inoportuna</t>
  </si>
  <si>
    <t xml:space="preserve">1. Débil control en el seguimiento de las solicitudes de comunicación interna.
2. Débil control en la verificación del contenido en las solicitudes de comunicación
3. Ausencia del consentimiento informado para uso de derecho de imagen sobre fotografías y videos </t>
  </si>
  <si>
    <t xml:space="preserve">Los responsables  del subproceso de Gestión de Comunicaciones, cada vez que se requiera consentimiento informado para uso de derecho de imagen sobre fotografías y videos , verifica el diligenciamiento del documento establecido para tal fin.
Periodicidad: Variable
Evidencia: Documento consentimiento informado para uso de derecho de imagen sobre fotografías y videos  firmado.
</t>
  </si>
  <si>
    <t xml:space="preserve">Realizar mesas técnicas conformadas por  abogados, financieros, técnicos catastrales y representante del sindicato, con el fin de verificar el cumplimiento de las condiciones jurídicas, técnicas, económicas y financieras establecidas en la Res. 1040 de 2023. Lo anterior para emitir concepto de viabilidad técnica o de requerimientos al Solicitante.
Periodicidad: Variable
Soporte: Registros de asistencia, Oficios para el solicitante con los requerimientos  y/o Concepto Técnico
</t>
  </si>
  <si>
    <t>1. Identificación de la ilegalidad del acto por parte de los grupos de valor</t>
  </si>
  <si>
    <t>1. Incremento en las PQRSDF debido a coyunturas sociales, económicas o políticas.</t>
  </si>
  <si>
    <t>Posibilidad de perdida reputacional y económica por incumplimiento normativo y sanciones por parte de entes de control externos e internos debido a la respuesta extemporánea a peticiones, quejas, reclamos, sugerencias, denuncias y felicitaciones (PQRSDF) realizadas por grupos de valor e interés.</t>
  </si>
  <si>
    <t>El Responsable designado de la Oficina de Relación con el Ciudadano - ORC de la Sede Central, realiza sensibilizaciones en temas asociados a la gestión de PQRSDF  y evalua las mismas, con el fin de validar la apropiación del conocimiento y posibles mejoras a implementar. (Las sensibilizaciones frente a los temas que no son competencia de la Oficina, se gestionarán con los responsables correspondientes)
Periodicidad: Variable
Evidencia: registros de asistencia, presentaciones y/o reporte de resultados de evaluaciones.</t>
  </si>
  <si>
    <t>El Responsable designado de la Oficina de Relación con el Ciudadano - ORC de la Sede Central  realiza seguimiento mensual al estado de PQRSDF registradas en el sistema de gestión documental a cargo de la Sede Central y de las Direcciones Territoriales, identificando las que presentan retrasos para identificar las acciones de mejora que se requieran.
Periodicidad: Mensual
Evidencia: Remisión informe PQRSDF a través de correo electrónico de seguimiento desde la Oficina de Relación con el Ciudadano.</t>
  </si>
  <si>
    <t xml:space="preserve">
1. Deficiencia del conocimiento del personal en: materia de normatividad vigente, procedimientos, herramientas tecnológicas y lineamientos institucionales relacionados con la gestión de las PQRSDF.
2. Dificultad para realizar el seguimiento del estado de las PQRSDF a nivel nacional.
3. Fallas y/o indisponibilidad del sistema de información para la gestión de PQRSDF y herramientas tecnológicas asociadas al proceso.
</t>
  </si>
  <si>
    <t xml:space="preserve">Afectación de la Imagen de la entidad
Sanciones  contra servidores públicos y contratistas 
Atrasos y sobrecarga operativa.
</t>
  </si>
  <si>
    <t>1. Baja aplicación de protocolos, normatividad y enfoques diferenciales para atender adecuadamente a los grupos de valor e interes.</t>
  </si>
  <si>
    <t>1. Desconocimiento de los grupos de valor e interes sobre la misionalidad institucional</t>
  </si>
  <si>
    <t>Afectación del posicionamiento de la entidad
Reprocesos en la prestación del servicio</t>
  </si>
  <si>
    <t>Posibilidad de pérdida reputacional por insatisfacción de los grupo de valor e interés debido a una orientación inadecuada en la prestación del servicio presencial, chatbot y telefonico</t>
  </si>
  <si>
    <t>El Responsable designado de la Oficina de Relación con el Ciudadano - ORC de la Sede Central, realiza sensibilizaciones en la aplicación de los Protocolos de Atención de servicio al usuario y evalua las mismas, con el fin de validar la apropiación del conocimiento y posibles mejoras a implementar. 
Periodicidad: Variable
Evidencia: Registros de asistencia, presentaciones y/o reporte de resultados de evaluaciones.</t>
  </si>
  <si>
    <t xml:space="preserve">El Responsable de la Oficina de Relación con el Ciudadano - ORC realiza verificación semestral de las encuestas contestadas por los usuarios posterior a la prestación del servicio en los diferentes canales de atención,  con el propósito de identificar orientaciones inadecuadas e implementar acciones de mejora para la prestación del servicio o trámite si se requiere.
Periodicidad: Semestral
Evidencia: Reporte de las encuestas contestadas por los usuarios y/o informe consolidado de las encuestas.
</t>
  </si>
  <si>
    <t xml:space="preserve">
1. Influencia de agentes externos o intermediarios que ofrecen dádivas a cambio de beneficios.</t>
  </si>
  <si>
    <t>Deslegitimación del IGAC ante la opinión pública
Sanciones disciplinarias, civiles, fiscales y penales.</t>
  </si>
  <si>
    <r>
      <t>1. Falta de apropiación de los valores institucionales.
2. Actos intencionales de personal al interior de la entidad para eludir los controles de los procedimientos.</t>
    </r>
    <r>
      <rPr>
        <sz val="11"/>
        <color theme="1"/>
        <rFont val="Arial"/>
        <family val="2"/>
      </rPr>
      <t xml:space="preserve">
</t>
    </r>
  </si>
  <si>
    <t xml:space="preserve">
Posibilidad de que los servidores públicos y contratistas reciban o soliciten dádivas o compensaciones durante la prestación del servicio o en la atención al ciudadano presencial con el fin de obtener un beneficio propio o de un tercero</t>
  </si>
  <si>
    <t>Evidencia: Reporte de encuestas de usuarios y/o informe consolidado de los resultados de dichas encuestas.</t>
  </si>
  <si>
    <t>El Responsable de la Oficina de Relación con el Ciudadano - ORC hace revisión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 revisión de quejas y denuncias</t>
  </si>
  <si>
    <t>El Responsable de la Oficina de Relación con el Ciudadano (ORC) realiza una verificación semestral de las encuestas de percepción y satisfacción ciudadana por los usuarios tras la prestación del servicio en los distintos canales de atención, con el propósito de detectar posibles prácticas indebidas, como la entrega de dádivas o beneficios solicitados a nombre propio de funcionarios o en favor de terceros. Si se identifican indicios de tales prácticas, deberá informase al órgano competente en el IGAC para que tome las medidas disciplinarias o correctivas correspondientes, en función del tipo de vinculación del funcionario.
Periodicidad: Semestral
Evidencia: Reporte de encuestas de usuarios y/o informe consolidado de los resultados de dichas encuestas.</t>
  </si>
  <si>
    <t>El Jefe de la Oficina de Control Interno Disciplinario, realiza una o mas mesas de trabajo, semestralmente, con el fin de revisar los procesos disciplinarios activos a cargo de la oficina, verificando el correcto desarrollo de estos. Asi mismo, se busca en esta mesa de trabajo, sensibilizar a los asistentes, para que puedan identificar y evitar asi incurrir en actos de corrupcion.
Periodicidad: Trimestral
Evidencia:  Lista de asistencia a mesa de trabajo.</t>
  </si>
  <si>
    <t>El jefe de la Oficina de Control  Interno Disciplinario y el funcionario o contratista designado de la Oficina de Control Interno Disciplinario, hacen seguimiento trimestral a los procesos disciplinarios, con el propósito de verificar el cumplimiento de los tiempos normativos establecidos para el adelantamiento de la acción disciplinaria. Si se identifican posibles incumplimientos en los términos, el proceso realiza las correcciones respectivas.
Periodicidad: Trimestral
Evidencia:  
1. Base de datos Excel con la informacion de los diferentes procesos adelantados por la Oficina de Control Interno Disiplinario.</t>
  </si>
  <si>
    <r>
      <rPr>
        <b/>
        <sz val="11"/>
        <color theme="1"/>
        <rFont val="Arial"/>
        <family val="2"/>
      </rPr>
      <t xml:space="preserve">
Evidencias: </t>
    </r>
    <r>
      <rPr>
        <sz val="11"/>
        <color theme="1"/>
        <rFont val="Arial"/>
        <family val="2"/>
      </rPr>
      <t xml:space="preserve">Registro Inventario documental Verificado. Para el caso de incumplimiento, plan de trabajo correspondiente. </t>
    </r>
  </si>
  <si>
    <t>Los responsables designados por el proceso Gestión Documental en sede central realizan el control de la documentación entregada a modo de préstamo a los funcionarios de la entidad, verificando la aplicación del formato o formatos establecidos en el procedimiento de préstamo de archivo central.
Periodicidad: Mensual. 
Evidencias: Registro vigente firmado por el solicitante de los documentos en Archivo Central</t>
  </si>
  <si>
    <t xml:space="preserve">Los responsables designados por el proceso Gestión Documental en sede central, verifican que la información custodiada en el archivo central, coincida con los inventarios documentales recibidos por transferencias primarias, con el fin de controlar y verificar la documentación que reposa en el mismo. En caso de evidenciar que no se ha llevado a cabo la verificación fisica de la información, el proceso de Gestión Documental tomará las acciones pertinentes para efectuar dicha actividad.
Periodicidad: Cuatrimestral
Evidencias: Registro Inventario documental Verificado. Para el caso de incumplimiento, plan de trabajo correspondiente. </t>
  </si>
  <si>
    <t xml:space="preserve">
Posibilidad de recibir o solicitar dádiva o beneficio por sustracción, eliminación o manipulación indebida de la documentación en el Archivo Central en sede central en beneficio propio o de terceros
</t>
  </si>
  <si>
    <t>Sanciones, quejas, demandas
Reprocesos
Insatisfacción de usuarios internos
Afectación de la imagen del proceso y de la entidad</t>
  </si>
  <si>
    <t>RXX NUEVO</t>
  </si>
  <si>
    <t xml:space="preserve"> Los responsables de la correspondencia externa recibida (ER) en la ventanilla física de la sede central del IGAC, recibe, revisa, digitaliza (si aplica/con sus anexos) y radica la comunicación generando una etiqueta con los datos y número del radicado y distribuye las comunicaciones oficiales. Todos los tramites de correspondencia se deben realizar de acuerdo con los documentos vigentes que se encuentren en el SIG del Instituto. En caso de encontrar inconsistencias debe informar al coordinador del contratista de correspondencia y éste a su vez al Supervisor del contrato (y a la Subdirección Administrativa y Financiera).
Periocidad: diario    
Evidencias: Planilla recepción y entrega de correspondencia
</t>
  </si>
  <si>
    <t>1. Aplicación inadecuada de los controles establecidos para la radicación de las comunicaciones oficiales recibidas</t>
  </si>
  <si>
    <t>El Jefe de la Oficina de Control Interno (OCI) realiza mensualmente seguimiento al Plan anual de auditorias internas de Gestión junto con el equipo de la OCI, con el fin de verificar el cumplimiento del plan. En caso de detectar un posible incumplimiento del Plan, se realiza un ajuste al cronograma de las actividades. 
Periodicidad: Mensual
Evidencia: Registro de Asistencia mensual y cronograma de seguimiento de actividades consolidado (Cuatrimestral)</t>
  </si>
  <si>
    <t>Los profesionales designados por la Dirección de Tecnologías de la información y las comunicaciones, realizan levantamiento de información para la estructuración de procesos de acuerdo a las necesidades identificadas. Así mismo se realizan mesas de trabajo con el proceso de gestión contractual con el fin de realizar seguimiento a la ejecución de los procesos.
Periodicidad: Cuatrimestral
Evidencia: Matriz de seguimiento a los procesos contractuales y actas de reunión.</t>
  </si>
  <si>
    <t>Los profesionales designados por la DTIC y las subdirecciones definen, establecen e implementan el Plan de Uso y apropiación de la DTIC con el fin de dar a conocer alos funcionarios y contratistas del IGAC las herramientas, proyectos,  lineamientos, estrategias e iniciativas tecnológicas.
Periodicidad: Cuatrimestral
Evidencia:  Matriz Seguimiento al Plan de Uso y apropiación</t>
  </si>
  <si>
    <t>Los profesionales designados por la DTIC y las subdirecciones, realizan seguimiento periódico a la ejecución de los planes (PLAN DE ACCIÓN, PETIC, PESI, PETRSI) formulados por el proceso, con el fin de verificar su ejecución y cumplimiento. Si se presentan desviaciones en el control, se generan las alertas pertinentes.
Periodicidad: Cuatrimestral
Evidencia: Tablero de control de seguimiento a planes</t>
  </si>
  <si>
    <t>El gestor de la mesa de servicios mensualmente verifica y analiza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Cuatrimestral
Evidencia: Reporte de la herramienta de gestión de soporte técnico - GLPI con la información que incluye las solicitudes no solucionadas y solucionadas fuera del tiempo establecido en los ANS.</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</si>
  <si>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Cuatrimestral
Evidencia: Cronograma de mantenimiento con seguimiento y control registro de mantenimientos de infraestructura tecnológica</t>
  </si>
  <si>
    <t>El Profesional designado de la subdirección de Sistemas de Información,  semestralmente  realiza seguimiento al cronograma de mantenimientos de sistemas y aplicaciones tecnológicas programados en la vigencia, con el fin de asegurar la disponibilidad de los servicios de TI. En caso de identificar retrasos se informa a la jefatura de la DTIC  para que se realicen las gestiones pertinentes para efectuar las actividades.
Periodicidad: Cuatrimestral
Evidencia: Cronograma de mantenimiento con seguimiento y control registro de mantenimientos de sistemas y aplicaciones tecnológicas</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</si>
  <si>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Cuatrimestral
Evidencia: Correo electrónico con el reporte de la novedad o falla y/o reporte de la verificación aleatoria de la infraestructura tecnológica realizada.</t>
  </si>
  <si>
    <t xml:space="preserve">El profesional designado de la Dirección DTIC, realiza seguimiento a  la gestión de cambios tecnológicos programados con el fin de validar su estado. En caso encontrar cambios tecnológicos no autorizados se informa a la jefatura DTIC para informar al equipo de control de cambios y adelantar las acciones pertinentes.
Periodicidad: Cuatrimestral
Evidencia: Informe de Gestión de cambios tecnológicos
</t>
  </si>
  <si>
    <t>R41</t>
  </si>
  <si>
    <t>1. Insuficiencia y reducción en el presupuesto asignado.
2.Planeación inadecuada de las actividades de los estudios agrológicos y del procesamiento analítico de las muestras.
3. Inadecuada ejecución de las actividades documentadas en los procedimientos e instructivos del Sistema de Gestión Integrado (SGI).</t>
  </si>
  <si>
    <t>1. Entrega de insumos inoportuna o sin el cumplimiento de requisitos por parte de terceros.
2. Problemas de orden público a nivel nacional que pueden afectar las actividades de campo.</t>
  </si>
  <si>
    <t>Afectación de la Imagen Institucional
Retraso en el conocimiento de la información oficial de suelos del país</t>
  </si>
  <si>
    <t>Los responsables de los diferentes temas y proyectos de la Subdirección de Agrología, mensualmente realizan el seguimiento a las actividades programadas al igual que la jefatura del Laboratorio Nacional de Suelos junto con los responsables de tema, revisan permanentemente el estado de las solicitudes de análisis en el aplicativo SIGA, con el fin de verificar el cumplimiento en la generación de los productos del subproceso de Gestión Agrológica. En caso de que se detecten desviaciones se analizan las causas y se determinan las acciones que se deben adelantar.
Periodicidad: Mensual
Evidencia: Registro de asistencia y Acta de seguimiento de los diferentes temas y proyectos del subproceso de Gestión Agrologica y las acciones implementadas (si aplica). 
Observación: La ejecución de este control inicia a partir de febrero, en consideración a los procesos contractuales adelantados en enero.</t>
  </si>
  <si>
    <t>R43</t>
  </si>
  <si>
    <t xml:space="preserve">1.  Inadecuada ejecución de las actividades documentadas en los procedimientos e instructivos del Sistema de Gestión Integrado (SGI).
2. Inadecuada manipulación, almacenamiento y transporte de la muestra.
3. Inadecuada rotulación de la muestra
</t>
  </si>
  <si>
    <t>1. Perdida de muestras por parte de la empresa de mensajería.</t>
  </si>
  <si>
    <t>Posibilidad de afectación Económica y reputacional  por extravío de las muestras a ser analizadas en el Laboratorio Nacional de Suelos (LNS)</t>
  </si>
  <si>
    <t>Afectación Económica
Reprocesos</t>
  </si>
  <si>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Informe de aplicación de las listas de chequeo y registros de asistencia (Si aplica)
Observación: La ejecución de este control inicia a partir de febrero, en consideración a los procesos contractuales adelantados en enero.</t>
  </si>
  <si>
    <t>R39</t>
  </si>
  <si>
    <t>1. Personal técnico especializado insuficiente para la producción cartográfica</t>
  </si>
  <si>
    <t xml:space="preserve">1. Eventos externos (climáticos, geográficos y de seguridad) que impactan los tiempos de producción o actualización de la información cartográfica.
2. Baja oferta en el mercado de Personal técnico especializado para la producción cartográfica
3. Insuficiencia en insumos cartográficos. </t>
  </si>
  <si>
    <t>Posibilidad de pérdida Reputacional por quejas de las partes interesadas debido a demoras en los procesos de producción y entrega de la cartografía básica</t>
  </si>
  <si>
    <t>Afectación de la Imagen Institucional
Quejas</t>
  </si>
  <si>
    <t>El  funcionario y/o contratista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</si>
  <si>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 xml:space="preserve">El  funcionario y/o contratista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</si>
  <si>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R32</t>
  </si>
  <si>
    <t>1. Desconocimiento de la normatividad vigente y estándares de producción de información geográfica en la generación, actualización y publicación de metodologías, estudios e investigaciones geográficas y de la delimitación de entidades territoriales.
2. Deficiencias en la validación de la normatividad, estándares y procedimientos en los productos generados, así como en la implementación de los documentos metodológicos del subproceso actualizados.</t>
  </si>
  <si>
    <t>Afectación de la Imagen Institucional
Reprocesos
Quejas</t>
  </si>
  <si>
    <t>Los funcionarios y/o contratistas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</si>
  <si>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R33</t>
  </si>
  <si>
    <t xml:space="preserve">1. Deficiencias en la planeación de los productos y en el seguimiento al plan de acción anual.
2. Falta de asignación de recursos económicos para la generación de los proyectos y la  publicación  de metodologías, estudios e investigaciones geográficas y delimitación de las entidades territoriales.
3. Demoras en los procesos administrativos que apoyan el desarrollo de las actividades técnicas.
</t>
  </si>
  <si>
    <t>1. Demoras para la aprobación o autorización de productos por parte de entes externos
2. Baja oferta en el mercado de personal especializado para la generación de metodologías, estudios e investigaciones geográficas, deslindes y delimitación de las entidades territoriales.
3. Demoras en el suministro de información por parte de las entidades territoriales y entidades estatales.
4. Incumplimiento en los compromisos de participación y/o concertación en mesas técnicas de las entidades y comunidades relacionadas con el proceso.
5. Problemas de órden publico en las zonas de estudio.</t>
  </si>
  <si>
    <t>Afectación de la Imagen de la entidad
Quejas
Reprocesos</t>
  </si>
  <si>
    <t>Los funcionarios y/o contratistas designados por la Subdirección de Geografía, realizan el seguimiento mensual con el fin de verificar el cumplimiento de los productos del plan de acción y del proyecto de inversión, reportando los avances en las herramientas dispuestas para este fin. En caso de observar actividades que no se han cumplido, se justifican los motivos de atraso y se informa a la Dirección de Gestión de Información Geográfica.
Periodicidad: Mensual
Evidencia: Herramientas para el seguimiento  y/o correo electrónico enviado con el seguimiento.
Observación: La ejecución de este control inicia a partir de febrero, en consideración a los procesos contractuales adelantados en enero.</t>
  </si>
  <si>
    <t>R46</t>
  </si>
  <si>
    <t>1. Desconocimiento u omisión involuntaria de los servidores públicos del IGAC de los procedimientos del proceso de gestión presupuestal, contable y financiera.</t>
  </si>
  <si>
    <t xml:space="preserve">1. Fallas de aplicativo SIIF Nación
</t>
  </si>
  <si>
    <t>Posibilidad de afectación Económica y pérdida Reputacional por sanciones de entes de control debido a la inoportunidad y/o inexactitud en la generación de registros presupuestales y  contables</t>
  </si>
  <si>
    <t xml:space="preserve">
Afectación de la Imagen de la Entidad
Sanciones
Reprocesos
</t>
  </si>
  <si>
    <t>R79</t>
  </si>
  <si>
    <t>Afectación de la Imagen de la Entidad
Hallazgos de entes de control
Reprocesos</t>
  </si>
  <si>
    <t>El servidor público o contratista designado por el líder de Gestión Contable verifica las fechas de presentación de los reportes, en la pagina de la Contaduría General de la Nación con el fin de preparar y presentar los reportes en forma oportuna. Si existe un cambio extraordinario en la programación la CGN remite correo electrónico informando al respecto.
Periodicidad: Trimestral
Evidencia: Certificado de presentación emitido por la CGN.</t>
  </si>
  <si>
    <t>R72</t>
  </si>
  <si>
    <t>1. Desconocimiento u Omisión de funciones administrativas para la  presentación y pago de las declaraciones tributarias oportunamente.</t>
  </si>
  <si>
    <t>Posibilidad de efecto dañoso sobre los recursos públicos, por pago de intereses y sanciones por mora, evidenciándose una omisión de funciones administrativas para la  presentación y pago de las declaraciones tributarias oportunamente.</t>
  </si>
  <si>
    <t>Pago de Intereses 
Sanciones
Corrección de las declaraciones</t>
  </si>
  <si>
    <t>El líder de Gestión Contable en la sede central y el profesional con funciones de contador en las Direcciones Territoriales verifica en los calendarios tributarios de las entidades correspondientes, las fechas establecidas para la presentación y pago de las declaraciones tributarias, con el fin de realizar los tramites de manera oportuna.
Periodicidad: Se realiza en el primer semestre de cada vigencia.
Evidencia Sede Central y Direcciones Territoriales: Calendario Tributario</t>
  </si>
  <si>
    <t>R76</t>
  </si>
  <si>
    <t>1. Desarticulación entre los lineamientos del proceso de Direccionamiento Estratégico y Planeación, la Capacidad Institucional (técnica y financiera) y las estrategias de mercadeo.
2. Documentación parcial de las actividades y procedimientos claves del proceso.</t>
  </si>
  <si>
    <t xml:space="preserve">Posibilidad de pérdida reputacional por deficiencias en la definición de lineamientos y estrategias de mercadeo (plan de mercadeo) que contribuyan al posicionamiento institucional
</t>
  </si>
  <si>
    <t>Afectación de la Imagen Institucional</t>
  </si>
  <si>
    <t>Documentar en el Sistema de Gestión Integrado, el prcocedimiento para definir la formulación de los lineamientos y estrategias de mercadeo (plan de mercadeo).
Periodicidad: Anual
Evidencia: 
1.  Procedimiento</t>
  </si>
  <si>
    <t>1. Ausencia o errores en la afiliación a la Administradora de Riesgos Laborales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</si>
  <si>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Afectación de la Imagen Institucional
Sanciones
Demandas</t>
  </si>
  <si>
    <t>El profesional responsable del SG-SST, verifica mensualmente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Mensual 
Evidencia: Informe mensual y/o correo electrónico de las inconsistencias enviado a gestión contractual y/o soporte de la modificación en la plataforma de la ARL (Si aplica)</t>
  </si>
  <si>
    <t xml:space="preserve">El profesional responsable del SG-SST de manera mensual verifica el cumplimiento de los requisitos presentes en la legislación y en la normativa asociada al Sistema de Gestión de Seguridad y Salud en el Trabajo.
Periodicidad: mensual
Evidencia: Matriz de requisitos legales SST actualizada. </t>
  </si>
  <si>
    <t>El profesional responsable del SG-SST, revisa anualmente la matriz de responsabilidades por cargo de acuerdo con la estructura organizacional y el manual de funciones 
Periodicidad: Anual
Evidencia: Matriz de responsabilidad por cargo, con la última fecha de actualización y la firma del profesional que elaboró o actualizó (con licencia de SST).</t>
  </si>
  <si>
    <t>1. No tener en cuenta los requisitos establecidos en el Manual de funciones para los empleos objeto de provisión.               
2. Desconocimiento o no atender lo dispuesto en la normatividad vigente relacionada con la provisión de empleo.                                  
3. Débil verificación de la documentación que acredite el cumplimiento de requisitos</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</si>
  <si>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Estudio de Verificación de Requisitos (EVR) de los servidores vinculados y/o en encargo.</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</si>
  <si>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Semestral
Evidencias. Requerimiento al Ministerio de Educación,   o Instituciones de educación superior o empresas que emitieron el respectivo documento y respuesta o base de datos con los resultados del seguimiento</t>
  </si>
  <si>
    <t>1. Incumplimiento de los lineamientos de los componentes de formación y capacitación y provisión de empleo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t>
  </si>
  <si>
    <t xml:space="preserve">Fuga del conocimiento que incide en la pérdida de memoria institucional
Afectación de la imagen institucional
Reprocesos
Demoras en las respuestas a solicitudes
Demora en la curva de aprendizaje de los servidores que ingresan al Instituto
</t>
  </si>
  <si>
    <t>El profesional de la Subdirección de Talento Humano que tiene a cargo la transferencia de conocimiento, realiza actualización, socialización e implementación de los lineamientos de los componentes de formación y capacitación y provisión de empleo entre servidores del instituto a nivel nacional, con el fin de salvaguardar la memoria institucional. En caso de no implementar las estrategias de transferencia del conocimiento, se debe elaborar un informe con los motivos del incumplimiento. 
Periodicidad: Semestral 
Evidencias: Registro de la actualización, socialización e implementación de los lineamientos de los componentes de formación y capacitación y provisión de empleo</t>
  </si>
  <si>
    <t xml:space="preserve">1.Desactualización de los instrumentos que dan lineamientos para la realización de las evaluaciones de desempeño.
2. Desconocimiento de las implicaciones disciplinarias por el no cumplimiento de la normatividad relacionada con evaluaciones de desempeño laboral y acuerdos de gestión
3. Baja participación en los espacios de capacitación a los servidores públicos y al equipo de trabajo de la Subdirección de Talento Humano que apoya el componente de evaluación de desempeño y acuerdos de gestión
4. Falta de sistematización de la base de datos para controlar la realización oportuna de evaluaciones de desempeño y acuerdos de gestión de los funcionarios del IGAC. </t>
  </si>
  <si>
    <t>1.Inoportuna socialización de los entes rectores de la Política frente a los cambios realizados en lineamientos de los sistemas de evaluaciónes de desempeño y acuerdos de gestión.</t>
  </si>
  <si>
    <t xml:space="preserve">Afectación de la Imagen Institucional
Sanciones 
Reprocesos
Afectación de los derechos de los servidores públicos respecto al acceso a encargos e incentivos </t>
  </si>
  <si>
    <t>El profesional encargado de evaluaciones de desempeño de la Subdirección de Talento Humano realiza seguimiento semestral a la elaboración de las evaluaciones de desempeño y acuerdos de gestión acorde al procedimiento. Este seguimiento se efectúa con base en el reporte de evaluaciones de desempeño de servidores de carrera administrativa  a través del aplicativo EDL de la Comisión Nacional de Servicio Civil CNSC y la base de datos donde se registran las evaluaciones en físico allegadas por los servidores provisionales, los servidores de libre nombramiento y remoción (diferentes a los gerentes públicos) y acuerdos de gestión de los gerentes públicos.
En caso de evidenciar la no realización de las evaluaciones de desempeño o acuerdos de gestión o encontrar inconsistencias en las mismas, se envía comunicación informando el incumplimiento de la normatividad vigente a los evaluadores y evaluados. En caso de persistir el incumplimiento se reportan los casos particulares a la Oficina de Control Interno Disciplinario.
Periodicidad: Semestral
Evidencia: Base de datos con el seguimiento de los evaluados, correos electrónicos y/o memorandos informando resultados del seguimiento y de los incumplimientos si aplica.</t>
  </si>
  <si>
    <t xml:space="preserve">
1.Digitación errada o incompleta de la información referente al tiempo laborado en el IGAC.
2. Falta de soportes en la historia laboral, Sistema de información Personal y Nómina PERNO y libros de nómina que permitan certificar los factores salariales.
3. No registro oportuno de la información por parte de la Subdirección de Talento Humano (STH) y de factores salariales por parte de las direcciones territoriales, según corresponda.
4. Ausencia de pagadores en las direcciones territoriales, quienes son los responsables de registrar los factores salariales en Certificados de Tiempos Laborados CETIL.
5. Falta de revisión del registro de la información por parte de otra persona diferente a quien la digitó, en las direcciones territoriales
</t>
  </si>
  <si>
    <t xml:space="preserve">1. Demora por parte de Ministerio de Hacienda en la habilitación de los usuarios para los diferentes roles relacionados con la expedición del CETIL.
2. Baja frecuencia en las  capacitaciones sobre el proceso por parte del Ministerio de Hacienda
3. Demora en los tiempos de respuesta a las consultas realizadas al MInisterio de Hacienda </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</si>
  <si>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profesional encargado para que tome los correctivos necesarios.
Periodicidad: Trimestral
Evidencias. Registro para préstamo de documentos</t>
  </si>
  <si>
    <t xml:space="preserve">
1. No registro oportuno de novedades en el sistema de información de nómina por olvido del servidor responsable en la STH
2. Ausencia o errores en la parametrización de los cálculos en el sistema de información de nómina 
3. Desconocimiento de la normatividad y manera correcta de realizar los cálculos en la nómina
4.  No entrega oportuna de información y/o novedades  de los servidores por parte de otros subprocesos de la STH, Direcciones Territoriales, por otras dependencias o por entes externos.
5. Ausencia de profesionales universitarios con funciones de pagadores en las Direcciones Territoriales o profesional de STH en sede central, quienes son usuarios únicos para generar la nómina de su correspondiente sede.
6. Ausencia del ingeniero de sistemas que presta soporte para corregir los errores y/ inconsistencias del sistema de información de nómina</t>
  </si>
  <si>
    <t>El profesional de la STH encargado de la generación de la nómina y los pagadores en las Direcciones Territoriales, revisan que los cálculos liquidados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 de soporte</t>
  </si>
  <si>
    <t xml:space="preserve">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 Para las Direcciones Territoriales, en caso de no presentar novedades debera informar esta situación por correo electrónico a la Subdirección de Talento Humano.
</t>
  </si>
  <si>
    <t>R34</t>
  </si>
  <si>
    <t>1. Fallas y/o desconocimiento en la funcionalidad de los equipos.
2. Fallas o desconexión del servicio de internet ya sea satelital o de datos.</t>
  </si>
  <si>
    <t>1. Vandalismo o pérdida de los equipos
2. Presencia de factores externos asociados a la seguridad, clima, topografía y orden público.</t>
  </si>
  <si>
    <t>El funcionario y/o contratista designado de la Subdirección Cartográfica y Geodésica, realiza diariamente el monitoreo a las estaciones de funcionamiento continuo CORS con el propósito de identificar aquellas que tengan fallas (incluido el servicio de internet) e impidan contar con los datos y elabora un reporte mensual. En caso de que se presenten fallas se informara al responsable de la red geodésica activa de la entidad y/o empresas operadoras de internet.
Periodicidad: Mensual
Evidencia: Reporte mensual de monitoreo de estaciones geodésicas con la identificación de aquellas que están inactivas y requieren mantenimiento y/o correo electrónico dirigido al responsable de la red geodésica activa de la entidad.
Observación: La ejecución de este control inicia a partir de febrero, en consideración a los procesos contractuales adelantados en enero.</t>
  </si>
  <si>
    <t>El funcionario y/o contratista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y/o denuncia en el caso que aplique</t>
  </si>
  <si>
    <t>El  funcionario y/o contratista designado de la Subdirección Cartográfica y Geodésica, informa a las autoridades locales y regionales mediante oficio y/o mensaje de correo electrónico, con el propósito de contar con la autorización para el desplazamiento del personal en la zona elegida, el ingreso y realización de la actividad en campo.
Periodicidad: Variable
Evidencia: Oficio y/o mensaje de correo electrónico remitido a las autoridades civiles y/o militares del lugar.</t>
  </si>
  <si>
    <t>R35</t>
  </si>
  <si>
    <t>1. Inadecuada aplicación de los controles de calidad
2. Falla en los equipos de recepción de datos.
3. Desconfiguración de los módulos del software de procesamiento y ajustes generando valores atípicos.
4. Deficiente control de calidad a cada una de las características definidas a vértices geodésicos de acuerdo con la resolución vigente</t>
  </si>
  <si>
    <t xml:space="preserve">Posibilidad de pérdida Reputacional por quejas de los grupos de valor debido al incumplimiento de estándares de calidad nacionales e internacionales en la generación de información geodésica </t>
  </si>
  <si>
    <t xml:space="preserve">El funcionario y/o contratista designado de la Subdirección Cartográfica y Geodésica, verifica que los equipos a utilizar en el proceso de nivelación, posicionamiento GNSS - Global Navegation Satelite System e incluye sistema de comunicación, gravimetría, geomagnetismo,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cartográficos. En caso de no cumplir con los parámetros establecidos, no se autorizará la salida del equipo a campo.
Periodicidad: Variable
Evidencia: Reporte de verificación de equipos y/o el Reporte de Novedades en caso que aplique </t>
  </si>
  <si>
    <t>El  funcionario y/o contratista designado de la Subdirección Cartográfica y Geodésica, realiza a diario el control de calidad de los datos RINEX para llevar a cabo el procesamiento y publicación de los mismos. En caso de encontrar desviaciones los archivos no serán reportados en el portal institucional.
Periodicidad: Mensual 
Evidencia: Captura de pantalla de la disposición de la información en servidores y reporte de publicación de los archivos RINEX mensualmente.</t>
  </si>
  <si>
    <t>El  funcionario y/o contratistal designado de la Subdirección Cartográfica y Geodésica, revisa la configuración del software BERNESE previo a la verificación de datos con el propósito de procesarlos de acuerdo con los estándares internacionales
Periodicidad: Mensual
Evidencia: Reporte de los resultados obtenidos con el software BERNESE mensual</t>
  </si>
  <si>
    <t>R37</t>
  </si>
  <si>
    <t>1. Deficiente control de calidad a cada una de las características definidas a vértices geodésicos de acuerdo con la resolución vigente</t>
  </si>
  <si>
    <t>El  funcionario y/o contratista designado de la Subdirección Cartográfica y Geodésica, realiza la verificación de la totalidad de los productos e insumos entregados y sus características generales, con el propósito de contar con vértices acorde con los parámetros definidos. En caso de encontrar desviaciones, el dato no será publicado en la plataforma institucional y quedará registrado en el formato de control de calidad.
Periodicidad: Variable
Evidencia: Formato de Control de calidad del procesamiento GNSS</t>
  </si>
  <si>
    <t>El  funcionario y/o contratista designado de la Subdirección Cartográfica y Geodésica realiza la verificación de caracteristicas fisicas del vértice geodésico de acuerdo con la norma vigente.
Periodicidad: Variable
Evidencia: Reporte de revisión de las caracteristicas técnicas del vértice geodésico a demanda.</t>
  </si>
  <si>
    <t xml:space="preserve">Posibilidad de pérdida Reputacional por quejas de los grupos de valor debido a  la integración de información a la Red Geodésica Nacional que se encuentren fuera de las especificaciones técnicas </t>
  </si>
  <si>
    <t>R44</t>
  </si>
  <si>
    <t>1. Presencia de intereses particulares o conflicto de intereses por la destinación del uso del suelo.
2.Presiones generadas por las relaciones del personal del subproceso Gestión Agrologica entre ellos o con sus partes interesadas.
3. Clientelismo y amiguismo</t>
  </si>
  <si>
    <t xml:space="preserve">
Posibilidad de recibir o solicitar dádivas por la manipulación de la información y alteración de los resultados de los productos agrológicos para beneficio propio o de un tercero </t>
  </si>
  <si>
    <t>El responsable del Sistema de Gestión Integrado (SGI) o el servidor público de apoyo cada vez que ingrese un funcionario o contratista a desarrollar actividades en el Laboratorio Nacional de Suelos (LNS) debe verificar que se firme el compromiso de confidencialidad, imparcialidad, e independencia, con el fin de garantizar que todas las personas se comprometan a implementar y mantener los lineamientos de imparcialidad establecidos en el LNS. El responsable del  SGI realiza seguimiento periódico a los compromisos de confidencialidad, imparcialidad e independencia para garantizar su cumplimiento. 
Periodicidad: Variable
Evidencia: Compromisos firmados de confidencialidad, imparcialidad e independencia, por parte del personal del LNS.</t>
  </si>
  <si>
    <t>Evidencia: Compromisos firmados de confidencialidad, imparcialidad e independencia, por parte del personal del LNS.</t>
  </si>
  <si>
    <t xml:space="preserve">Los funcionarios designados a las diferentes temáticas, aplican los controles de calidad establecidos en el subproceso de Gestión Agrologica, con el propósito de verificar que se cumplen los parámetros establecidos en cada etapa de la generación de los productos agrologicos. En caso de encontrar desviaciones se regresa a la etapa anterior para su respectivo ajuste o se realiza la trazabilidad de todo el proceso según aplique.
Periodicidad: Mensual
Evidencia: Registros de control de calidad de las diferentes temáticas.
Observación: La ejecución de este control inicia a partir de febrero, en consideración a los procesos contractuales adelantados en enero.
</t>
  </si>
  <si>
    <t>Evidencia: Registros de control de calidad de las diferentes temáticas.</t>
  </si>
  <si>
    <t xml:space="preserve">El responsable del Sistema de Gestión Integrado (SGI) o el profesional de apoyo del subproceso de Gestión Agrologica, realiza el seguimiento al cumplimiento de la documentación del SGI y sus controles, como mínimo una vez al mes, lo cual se debe hacer a través de la aplicación de listas de chequeo que permitan evaluar el cumplimiento del paso a paso para generar los productos agrologicos. En caso que se encuentre una desviación o desconocimiento del procedimiento, para generar los productos por alguno de los servidores públicos, se procederá a hacer una reinducción del proceso y de ser necesario se implementan las acciones correctivas y de mejora de acuerdo a la situación presentada. 
Periodicidad: mensual.
Evidencia: Informe de aplicación de las listas de chequeo y registros de asistencia (Si aplica)
Observación: La ejecución de este control inicia a partir de febrero, en consideración a los procesos contractuales adelantados en enero.
</t>
  </si>
  <si>
    <t>Evidencia: Informe de aplicación de las listas de chequeo y registros de asistencia (Si aplica)</t>
  </si>
  <si>
    <t>R40</t>
  </si>
  <si>
    <t>1. Falta control de calidad de los productos finales
2. Ausencia de información o insumos insuficientes para la validación
3. Falta de apropiación de valores éticos 
4.Tráfico de influencias y/o amiguismos</t>
  </si>
  <si>
    <r>
      <t xml:space="preserve">Posibilidad de recibir o solicitar dádiva o beneficio por oficializar información </t>
    </r>
    <r>
      <rPr>
        <sz val="11"/>
        <color rgb="FF00B050"/>
        <rFont val="Arial"/>
        <family val="2"/>
      </rPr>
      <t>cartográfica</t>
    </r>
    <r>
      <rPr>
        <sz val="11"/>
        <color theme="1"/>
        <rFont val="Arial"/>
        <family val="2"/>
      </rPr>
      <t xml:space="preserve"> de terceros que no cumplan con la normatividad o las especificaciones técnicas definidas en el IGAC para beneficio propio o de un tercero. </t>
    </r>
  </si>
  <si>
    <t>El  funcionario y/o contratista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</si>
  <si>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r>
      <rPr>
        <b/>
        <sz val="11"/>
        <color theme="1"/>
        <rFont val="Arial"/>
        <family val="2"/>
      </rPr>
      <t xml:space="preserve">Evidencia: </t>
    </r>
    <r>
      <rPr>
        <sz val="11"/>
        <color theme="1"/>
        <rFont val="Arial"/>
        <family val="2"/>
      </rPr>
      <t>Reporte de control de calidad de la generación de productos cartográficos.</t>
    </r>
  </si>
  <si>
    <t>El  funcionario y/o contratista designado de la Subdirección Cartográfica y Geodésica, realiza la verificación de la totalidad de los productos e insumos cartográficos recibidos y sus características generales con el propósito de realizar el proceso de validación. En caso de encontrar algún faltante o incumplimiento, se devuelve al tercero con el respectivo informe por medio  de oficio y/o mensaje de correo electrónico.
Periodicidad: Variable
Evidencia: Lista de verificación de productos e insumos.</t>
  </si>
  <si>
    <r>
      <rPr>
        <b/>
        <sz val="11"/>
        <color theme="1"/>
        <rFont val="Arial"/>
        <family val="2"/>
      </rPr>
      <t xml:space="preserve">Evidencia: </t>
    </r>
    <r>
      <rPr>
        <sz val="11"/>
        <color theme="1"/>
        <rFont val="Arial"/>
        <family val="2"/>
      </rPr>
      <t>Lista de verificación de productos e insumos.</t>
    </r>
  </si>
  <si>
    <t>El  funcionario y/o contratista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</si>
  <si>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r>
      <rPr>
        <b/>
        <sz val="11"/>
        <color theme="1"/>
        <rFont val="Arial"/>
        <family val="2"/>
      </rPr>
      <t xml:space="preserve">Evidencia: </t>
    </r>
    <r>
      <rPr>
        <sz val="11"/>
        <color theme="1"/>
        <rFont val="Arial"/>
        <family val="2"/>
      </rPr>
      <t>Reportes de control de calidad de la información obtenida en campo.</t>
    </r>
  </si>
  <si>
    <t>R30</t>
  </si>
  <si>
    <t xml:space="preserve">
1. Falta de apropiación de principios y valores institucionales.
2. Incumplimiento de los puntos de control establecidos dentro de los procedimientos</t>
  </si>
  <si>
    <t xml:space="preserve">
Posibilidad de recibir o solicitar dádiva o beneficio por generar lineamientos geográficos, certificados o  deslindes que no cumplan con la normatividad vigente,  estándares  o especificaciones técnicas para beneficio propio o de un tercero</t>
  </si>
  <si>
    <t>Los  funcionarios y/o contratistas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</si>
  <si>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r>
      <t xml:space="preserve">
</t>
    </r>
    <r>
      <rPr>
        <b/>
        <sz val="11"/>
        <color theme="1"/>
        <rFont val="Arial"/>
        <family val="2"/>
      </rPr>
      <t xml:space="preserve">Evidencia: </t>
    </r>
    <r>
      <rPr>
        <sz val="11"/>
        <color theme="1"/>
        <rFont val="Arial"/>
        <family val="2"/>
      </rPr>
      <t>Versiones de documentos y/o certificaciones con observaciones o evidencia de asistencia a las reuniones.</t>
    </r>
  </si>
  <si>
    <t>R31</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</si>
  <si>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t>
  </si>
  <si>
    <t xml:space="preserve">
Posibilidad de recibir o solicitar dádiva o beneficio por manipulación y/o sustracción indebida de información  geográfica durante el proceso  previo a su publicación o presentación de resultados, para beneficio propio o de un tercero</t>
  </si>
  <si>
    <t>Afectación de la imagen institucional
Sanciones
Reprocesos</t>
  </si>
  <si>
    <t xml:space="preserve">Los funcionarios y/o contratistas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</si>
  <si>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r>
      <rPr>
        <b/>
        <sz val="11"/>
        <color theme="1"/>
        <rFont val="Arial"/>
        <family val="2"/>
      </rPr>
      <t xml:space="preserve">
Evidencias: </t>
    </r>
    <r>
      <rPr>
        <sz val="11"/>
        <color theme="1"/>
        <rFont val="Arial"/>
        <family val="2"/>
      </rPr>
      <t xml:space="preserve">Reporte de GLPI con la asignación de permisos al repositorio oficial y/o mensajes de correo electrónico remitidos (si aplica) </t>
    </r>
  </si>
  <si>
    <t>El funcionario y/o contratista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</si>
  <si>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r>
      <rPr>
        <b/>
        <sz val="11"/>
        <color theme="1"/>
        <rFont val="Arial"/>
        <family val="2"/>
      </rPr>
      <t xml:space="preserve">
Evidencia: </t>
    </r>
    <r>
      <rPr>
        <sz val="11"/>
        <color theme="1"/>
        <rFont val="Arial"/>
        <family val="2"/>
      </rPr>
      <t>Memorando y/o mensaje de correo electrónico informando la situación (si aplica).</t>
    </r>
  </si>
  <si>
    <t>R48</t>
  </si>
  <si>
    <r>
      <t>1. Falta de ética y valores
2. Débil seguimiento a los controles defin</t>
    </r>
    <r>
      <rPr>
        <sz val="11"/>
        <color rgb="FF00B050"/>
        <rFont val="Arial"/>
        <family val="2"/>
      </rPr>
      <t>id</t>
    </r>
    <r>
      <rPr>
        <sz val="11"/>
        <color theme="1"/>
        <rFont val="Arial"/>
        <family val="2"/>
      </rPr>
      <t>os en el proceso</t>
    </r>
  </si>
  <si>
    <t xml:space="preserve">Posibilidad de recibir o solicitar dádiva o beneficio, o inadecuada administración por manejo indebido de recursos financieros por parte de los responsables en la entidad, para beneficio propio o de terceros
</t>
  </si>
  <si>
    <t>Sanciones de Órganos de Control
Afectación de la Imagen Institucional</t>
  </si>
  <si>
    <r>
      <t xml:space="preserve">El responsable de gestión de Tesorería en la sede central y los profesionales con funciones de Pagadores en las Direcciones Territoriales, reciben las obligaciones, verificando los  soportes requeridos, en caso de determinar que es un traspaso a pagaduría, se elaboran y autorizan las ordenes de pago en el sistema SIIF Nación.  En caso contrario, se devuelve la documentación solicitando los ajustes correspondientes a los responsables.
Periodicidad: Trimestral
</t>
    </r>
    <r>
      <rPr>
        <b/>
        <sz val="11"/>
        <color theme="1"/>
        <rFont val="Arial"/>
        <family val="2"/>
      </rPr>
      <t>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
Direcciones Territoriales: </t>
    </r>
    <r>
      <rPr>
        <sz val="11"/>
        <color theme="1"/>
        <rFont val="Arial"/>
        <family val="2"/>
      </rPr>
      <t xml:space="preserve">
1.) Listado de ordenes de pago con traspaso a pagaduría generadas durante el trimestre
2.) Órdenes de pago con traspaso a pagaduría con sus respectivos soportes.</t>
    </r>
  </si>
  <si>
    <r>
      <rPr>
        <b/>
        <sz val="11"/>
        <color theme="1"/>
        <rFont val="Arial"/>
        <family val="2"/>
      </rPr>
      <t xml:space="preserve">
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Direcciones Territoriales: </t>
    </r>
    <r>
      <rPr>
        <sz val="11"/>
        <color theme="1"/>
        <rFont val="Arial"/>
        <family val="2"/>
      </rPr>
      <t xml:space="preserve">
1.) Listado de ordenes de pago con traspaso a pagaduría generadas durante el trimestre
2.) Órdenes de pago con traspaso a pagaduría con sus respectivos soportes.</t>
    </r>
  </si>
  <si>
    <t>Los edafólogos en campo envían las muestras al Laboratorio Nacional de Suelos (LNS); el profesional enlace del tema de levantamiento de suelos,  realiza el control y seguimiento al comparar el formato de solicitud de muestras cliente interno con las muestras que se recibieron en el laboratorio. En caso de encontrar inconsistencias se lleva a cabo la trazabilidad para determinar la razón de la pérdida de las muestras. Este control se aplica siempre y cuando haya comisión para la realización del trabajo en campo.
Periodicidad: Variable
Evidencias: Formato Control de envío y recepción de muestras y soportes de la trazabilidad (si aplica).</t>
  </si>
  <si>
    <t>40%</t>
  </si>
  <si>
    <t xml:space="preserve">El Responsable designado por la Oficina Asesora de Planeación realiza seguimiento a la implementación y mantenimiento del Modelo Integrado de Planeación y Gestión articulado con el Sistema de Gestión integrado  a traves de las herramientas de seguimiento y control definidas, con el fin de verificar el cumplimiento del MIPG-SGI. En caso de que no se estén cumplimiento los requisitos se generan las alertas en  el Comité Institucional de Gestión y Desempeño.
Periodicidad: Semestral
Evidencias: Archivos de seguimiento y control del MIPG articulado con el SGI </t>
  </si>
  <si>
    <t>Posibilidad de afectación económica y/o  reputacional por quejas de los grupos de valor, investigaciones disciplinarias o sanciones de entes de control debido a deficiencias en la definición de lineamientos, políticas, objetivos, estrategias y directrices que no contribuyan al cumplimiento de las metas  de Gobierno, Sectoriales e  institucionales, y/o de la normatividad vigente.</t>
  </si>
  <si>
    <t>Afectación de la Imagen Institucional
Sanciones
Quejas
Reducción del Presupuesto
Investigaciones disciplinarias
Incumplimiento de metas de Gobierno, Sectoriales, Institucionales  y normatividad vigente</t>
  </si>
  <si>
    <t>Los servidores públicos o contratistas designados de la  Oficina Asesora de Planeación (OAP), cada vez que reciben los instrumentos de planeación estratégica diligenciados, deben revisar las herramientas. En caso de identificar observaciones deben retroalimentar a las áreas/dependencias las veces que sea necesario, para posibilitar la identificación de productos estratégicos, teniendo en cuenta los insumos entregados.
Periodicidad: Variable.
Evidencia: Correos electrónicos con la trazabilidad de las revisiones efectuadas.</t>
  </si>
  <si>
    <t xml:space="preserve">El jefe de la Oficina Asesora de Planeación y los servidores públicos y/o contratistas de la Oficina Asesora de Planeación cada vez que se inicia el proceso de planeación institucional, deben identificar, actualizar y enviar los lineamientos, insumo e instrumentos para el proceso de planeación estratégica y para la formulación del plan de acción a las áreas/dependencias de la entidad. En caso que las áreas/dependencias tengan inquietudes frente a los insumos o instrumentos, los servidores públicos o contratistas de la OAP las atienden hasta que queden subsanadas. 
Periodicidad: Semestral
Evidencia: correos electrónicos con los insumos, lineamientos e instrumentos </t>
  </si>
  <si>
    <r>
      <t xml:space="preserve">Los servidores públicos o contratistas designado de la Oficina Asesora de Planeación, cada vez que se solicita el seguimiento a las metas institucionales, deben revisar la consistencia de la información, los datos y las evidencias reportadas. En caso de identificar </t>
    </r>
    <r>
      <rPr>
        <sz val="11"/>
        <color rgb="FFFF0000"/>
        <rFont val="Arial"/>
        <family val="2"/>
      </rPr>
      <t xml:space="preserve"> </t>
    </r>
    <r>
      <rPr>
        <sz val="11"/>
        <rFont val="Arial"/>
        <family val="2"/>
      </rPr>
      <t>desviaciones</t>
    </r>
    <r>
      <rPr>
        <sz val="11"/>
        <color theme="1"/>
        <rFont val="Arial"/>
        <family val="2"/>
      </rPr>
      <t xml:space="preserve"> deben solicitar a las áreas los ajustes correspondientes. 
Periodicidad: Variable
Evidencia: Herramientas de seguimiento a las metas institucionales y</t>
    </r>
    <r>
      <rPr>
        <sz val="11"/>
        <color rgb="FF00B050"/>
        <rFont val="Arial"/>
        <family val="2"/>
      </rPr>
      <t>/o</t>
    </r>
    <r>
      <rPr>
        <sz val="11"/>
        <color theme="1"/>
        <rFont val="Arial"/>
        <family val="2"/>
      </rPr>
      <t xml:space="preserve"> correos electrónicos.</t>
    </r>
  </si>
  <si>
    <t xml:space="preserve">Afectación de la Imagen del proceso e Institucional
Pérdida de credibilidad y confianza por no cumplir con  las metas definidas
Toma de decisiones erradas o inoportunas
Quejas y reclamos de los clientes (internos yo externos)
Sanciones disciplinarias
</t>
  </si>
  <si>
    <t>1. Alta rotación de personal.
2. Falta de capacitación en los temas referentes al MIPG para el personal antiguo y nuevo de la Entidad.
3. No aplicación de medidas de control y seguimiento a los requisitos del Modelo Integrado de  Planeación y Gestión.
4.  Falta de Direccionamiento para la aplicación de los objetivos del MIPG y reconocimiento de su utilidad en la entidad.
5. baja comprensión, apropiación y aplicación de lineamientos e instrumentos establecidos por el DAFP y las entidades lideres.</t>
  </si>
  <si>
    <t>Afectación de la Imagen Institucional
Reprocesos
Sanciones
Quejas
Perdida de la certificación en los sistemas integrados
Resultados deficientes en el  Índice de Desempeño Institucional .</t>
  </si>
  <si>
    <t>El Responsable designado por la Oficina Asesora de Planeación realiza acompañamiento y seguimiento a los procesos involucrados en la evaluación del Índice de Desempeño Institucional (IDI) a través del Formulario Ünico de Reporte de Avance de la Gestión (FURAG), con el fin de verificar la identificación e implementación de las acciones para incrementar o mantener los resultados respecto a las políticas señaladas por MIPG.
En caso de que no se estén cumplimiento los lineamientos del modelo, se deben crear nuevas estrategias para asegurar su implementación.
Periodicidad: Anual
Evidencias: Archivo de seguimiento a las acciones consolidadas para la implementación del FURAG.</t>
  </si>
  <si>
    <t xml:space="preserve">Posibilidad de pérdida reputacional por hallazgos de entes de control debido a no presentar  oportunamente la información financiera en las fechas programadas por la Contaduría General de la Nación (CGN) </t>
  </si>
  <si>
    <t>MAPA DE RIESGOS INSTITUCIONAL VIGENCIA 2025
Versión 1. Enero de 2025</t>
  </si>
  <si>
    <t>MAPA DE RIESGOS DE CORRUPCIÓN VIGENCIA 2024 
Versión 1. Enero de 2025</t>
  </si>
  <si>
    <t>Posibilidad de recibir o solicitar cualquier dádiva durante la fase precontractual  de los procesos para la adquisición de bienes y servicios del proceso de tecnología con el fin de beneficiarse a nombre propio o de terceros</t>
  </si>
  <si>
    <t xml:space="preserve">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observatorio de la tierra y el territorio y registro de los nombres geográficos del país. </t>
  </si>
  <si>
    <t>Posibilidad de pérdida reputacional por quejas de los grupos de valor debido al incumplimiento en los tiempos programados para la generación, actualización y publicación de metodologías, estudios e investigaciones geográficas, deslindes y delimitación de las entidades territoriales y fronteras, asesorías en temas de ordenamiento territorial, observatorio de la tierra y el territorio y registro de los nombres geográficos del país.</t>
  </si>
  <si>
    <t>Posibilidad de perdida reputacional por inadecuada implementación y mantenimiento del Modelo Integrado de Planeación y Gestión – MIPG articulado con los sistemas de gestión integrados.</t>
  </si>
  <si>
    <t>Posibilidad de pérdida Reputacional y afectación económica por quejas de los grupos de valor o sanciones de entes de control debido al incumplimiento de los requisitos mínimos para la provisión de empleos vacantes de la planta de personal del IGAC</t>
  </si>
  <si>
    <t>Posibilidad de pérdida reputacional por bajo desempeño de los procesos debido a la fuga de conocimiento de los servidores públicos que se retiran de la entidad o cambian de empleo.</t>
  </si>
  <si>
    <t>Posibilidad de afectación Económica y pérdida Reputacional por sanciones de entes de control debido al incumplimiento de la normatividad vigente sobre  evaluaciones de desempeño y/o acuerdos de gestión.</t>
  </si>
  <si>
    <t>Posibilidad de pérdida reputacional por quejas o reclamos de los servidores públicos y hallazgos de entes de control debido a la inoportunidad y/o inconsistencias en los actos administrativos y sus soportes relacionados con las diferentes actuaciones de la administración de personal.</t>
  </si>
  <si>
    <t xml:space="preserve">Posibilidad de afectación económica y pérdida reputacional por demandas de ex servidores o servidores o sanciones de entes competentes debido a  inconsistencias o generación fuera de términos del certificado electrónico de tiempos laborados </t>
  </si>
  <si>
    <t xml:space="preserve">Posibilidad de afectación económica y  perdida reputacional por queja, reclamo o demandas de servidores de la entidad o exservidores debido a la pérdida de documentos que hacen parte de sus historias laborales que se encuentran en el archivo de gestión de la Subdirección de Talento Humano. </t>
  </si>
  <si>
    <t xml:space="preserve">Posibilidad de afectación económica y pérdida reputacional por queja o reclamo de un servidor de la entidad, demandas de exservidores o sanciones de entes de control, debido a errores, inconsistencias o no generación de la liquidación de la nómina. </t>
  </si>
  <si>
    <t>Posibilidad de afectación Económica y pérdida Reputacional por pérdida de clientes, quejas o reclamos de los usuarios debido a la inoportunidad en la prestación de servicios o en la entrega de productos del proceso Gestión del conocimiento aplicado.</t>
  </si>
  <si>
    <t xml:space="preserve">Posibilidad de pérdida Reputacional por quejas o reclamos de las partes interesadas debido a la posibilidad de entregar un  producto o prestar un  servicio que no cumpla con las especificaciones técnicas establecidas o con las necesidades y expectativas de los usuarios. </t>
  </si>
  <si>
    <t>Posibilidad de pérdida Reputacional por quejas de los grupos de valor debido a la expedición de regulación inadecuada o que no atienda las necesidades de actualización normativa.</t>
  </si>
  <si>
    <t xml:space="preserve">Posibilidad de pérdida reputacional y afectación económica  por quejas de los grupos de valor o sanciones de entes reguladores debido a la Inoportunidad en los tiempos establecidos para la entrega de los productos resultados del  proceso de formación y/o actualización catastral de los municipios en jurisdicción del IGAC </t>
  </si>
  <si>
    <t xml:space="preserve">Posibilidad de Afectación económica y perdida Reputacional por quejas de los grupos de valor  y sobrecostos debido a la inoportunidad en la transferencia de datos de las estaciones de funcionamiento continuo (CORS - Continuous Operation Reference Station) a nivel nacional </t>
  </si>
  <si>
    <t xml:space="preserve">Posibilidad de pérdida Reputacional por el incumplimiento en los estándares de producción para la elaboración de los productos programados en el proceso de Gestión Agrológica </t>
  </si>
  <si>
    <t>Posibilidad de pérdida reputacional por quejas de las partes interesadas debido al incumplimiento de términos y requisitos en las diferentes etapas del proceso disciplinario.</t>
  </si>
  <si>
    <t xml:space="preserve">Posibilidad de perdida Reputacional de la Oficina de Control Interno por incumplimiento en la ejecución del Plan Anual de Auditorias Internas de Gestión 
</t>
  </si>
  <si>
    <t xml:space="preserve">
Posibilidad de afectación ecónomica y/o reputacional por sanciones disciplinarias debido a la inadecuada verificación de la información reportada en los seguimientos al plan estratégico, planes de acción, proyectos de inversión y demás metas institucionales
</t>
  </si>
  <si>
    <t xml:space="preserve">Posibilidad de pérdida reputacional y económica por quejas o reclamos de los grupos de valor debido a la implementación inadecuada de estrategias, proyectos, iniciativas y planes, de acuerdo  con lo establecido en el Marco de Referencia de Arquitectura TI y en las Políticas de Gobierno y Seguridad Digital para atender las necesidades tecnológicas de la entidad
</t>
  </si>
  <si>
    <t xml:space="preserve">Posibilidad de afectación reputacional por pérdida del gobierno sobre los datos debido a la baja calidad en la definición de las políticas, estándares y procesos de la información geoespacial que genera y gestiona el instituto. 
</t>
  </si>
  <si>
    <t>Posibilidad de afectación reputacional y economica por quejas, demandas o sanciones debido a la inadecuada radicacion de las comunicaciones oficiales recibidas</t>
  </si>
  <si>
    <t>1. Decisiones administrativas que conllevan a un cambio en el Plan Anual de Auditorias Internas de Gestión.
2. Falta de funcionarios de planta y una alta rotación de personal contratista en la OCI.
3. Falta de tiempo y disponibilidad del auditado.</t>
  </si>
  <si>
    <t>1. Incumplimiento de requisitos legales ambientales y otros compromisos con las partes interesadas, relacionados con el  Sistema de Gestón Ambiental SGA.
2. Falta de compromiso por parte de los procesos para el mantenimiento y mejora del SGA.
3. Debilidad en el reporte de información del desempeño ambiental desde los diferentes procesos y sedes territoriales.
4. Debilidad en el conocimiento de las buenas prácticas ambientales en el IGAC.
5. Gestión inadecuada en el manejo de los residuos generados en las actividades, productos y servicios del IGAC. 
6. Incumplimiento en la aplicación de controles operacionales definidos en la matriz de aspectos e impactos ambientales y matriz legal.
7. Debilidad en la inclusión de criterios ambientales relacionados con requisitos legales aplicables en los contratos que aplique y en la supervisión y seguimiento al cumplimiento de estos criterios.
8. Debilidad en la realización de trámites ambientales aplicables al IGAC en los tiempos establecidos en la normatividad ambiental. 
9. Prácticas inadecuadas de manipulación o almacenamiento de sustancias químicas.</t>
  </si>
  <si>
    <t xml:space="preserve">
1. Desconocimiento u Omisión involuntaria por parte del servidor publico y/o contratista de los procesos de gestión presupuestal, contable y financiera.
</t>
  </si>
  <si>
    <t>1. Falta de articulación y resistencia al cambio por parte de los líderes de procesos del instituto. 
2. Inexistencia o desactualización de los instrumentos de política, tales como guías, instructivos, metodologías, lineamientos, entre otros, para la gestión eficiente  y de calidad de la información geoespacial.
3. Desconocimiento de las políticas, estándares y procesos de la información geoespacial por parte de los procesos involucrados.
4. Incompatibilidad entre los diferentes sistemas de información geoespacial utilizados en la IDE.
5. Escasez de personal con habiliades técnicas adecuadas en el manejo de la IDE o falta de capacitación continua del personal existente.</t>
  </si>
  <si>
    <t>1. Cambios en las directrices por cambios de gobierno
2. Nuevos lineamientos en temas de estrategía geoespacial</t>
  </si>
  <si>
    <t xml:space="preserve">
1. Fallas de aplicativo SIIF Nación
2. Cambio de fechas programadas por CGN</t>
  </si>
  <si>
    <t>1. Asignación de recursos insuficientes porl Estado para el logro de las metas de Gobierno, Sectoriales eInstitucionales</t>
  </si>
  <si>
    <t>1. Falta de oferta de auditores con formación requerida para realizar auditorias internas de gestión</t>
  </si>
  <si>
    <t xml:space="preserve">1. Baja capacitación por las entidades rectoras de política en la implementación de los lineamientos del Modelo Integrado de Planeación y Gestión </t>
  </si>
  <si>
    <t>Afectación de la Imagen del proceso
Reprocesos
Demoras para responder solicitudes de servidores o exservidores, o partes interesadas
Apertura de procesos disciplinarios
Demandas contra la Entidad</t>
  </si>
  <si>
    <t>Los responsables designados en las Direcciones Territoriales para el manejo de las PQRSDF,  realizan seguimiento al estado de PQRSDF de acuerdo con el informe remitido por la Oficina de Relación con el Ciudadano, identificando las que presentan retrasos, con el fin de realizar las gestiones para la respuesta pertinente.
Periodicidad: Mensual
Evidencia: Correo electrónico de remisión del Informe de PQRSDF a los responsables de las solicitudes con retraso.</t>
  </si>
  <si>
    <t xml:space="preserve">El responsable designado por el director de Investigación y Prospectiva, realiza seguimiento al Plan de Mantenimiento y calibración de los espectroradiómetros con el fin de verificar el cumplimiento del mismo. Si se incumple con una fecha de calibración para un equipo, el equipo no se debe usar y se reprograma su calibración (Si aplica)
Periodicidad: Anual
Evidencia: Seguimiento al Plan de Mantenimiento y Calibración,  muestra de los certificados de calibración y muestra de la hoja de vida de los espectroradiómetros. </t>
  </si>
  <si>
    <t>Los Enlaces Territoriales de la Sede central realizan el seguimiento a la ejecución de los trámites catastrales con el fin de verificar el cumplimiento de los mismos y los lineamientos, en el cual se identifica retrasos, causas y se definen las acciones a realizar para el cumplimiento.
Periodicidad: Trimestral
Evidencia:  Matriz consolidada y/o informe consolidado</t>
  </si>
  <si>
    <t>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Evidencia: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</si>
  <si>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t>El profesional articulador de la Dirección de Gestión Catastral previo a la visita a campo, informa a la fuerza pública regional la presencia de los profesionales de la subdirección, con el fin de brindarles seguridad a los avaluadores. En los casos que se evidencia problemas de orden público en la zona a visitar, se cancela la comisión.
Periodicidad: A demanda - Variable
Evidencia: 
Oficios dirigidos a los comandos regionales de fuerza pública</t>
  </si>
  <si>
    <t>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memorando o comisión.
En caso contrario, se abstienen de realizar el registro, aplicando lo establecido en el procedimiento de elaboración de CDP y RP.
 Periodicidad: Variable
Evidencia: 
Sede Central: Una muestra de los documentos soporte de los registros presupuestales (memorandos o minutas de contratos o comisiones)
Direcciones Territoriales: 1.)  Listado de compromisos del trimestre generado por el sistema SIIF  y  2.)  muestra del 10% de los RP generados durante el trimestre con sus soportes debidamente firmados, según corresponda (un archivo consolidado con los documentos por cada RP).</t>
  </si>
  <si>
    <t>El responsable de cartera designado en GIT Contabilidad de la sede central y el profesional con funciones de contador en las Direcciones Territoriales, trimestralmente, realiza la conciliación de cartera validando que la información contable se encuentre correcta  y verifica los saldos de las cuenta en SIIF Nación contra el reporte de edades de cartera. Si se presenta diferencias, con base en esta verificación, se realizan los ajustes correspondientes, acorde al procedimiento.
Periodicidad: Trimestral
Evidencia 
Sede Central: 
1.) Informe de conciliación de cartera
2.) Informe de cartera por edades 
3.) Correos electrónicos en caso de inconsistencias (si aplica).
Direcciones Territoriales:  
1.) Informe de conciliación de cartera
2.) Informe de cartera por edades y 
3.) Correos electrónicos en caso de inconsistencias (si aplica)</t>
  </si>
  <si>
    <t>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Evidencias:  Reporte mensual recibido por la empresa de seguridad y reporte de novedades realizadas por el Almacén.</t>
  </si>
  <si>
    <t>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Evidencias
Sede Central:
1.) Informe de inventario y conciliación (Fecha del inventario, Responsable, Descripción del bien, número de la placa, fecha de ingreso, valor histórico, valor en libros y ubicación)
2.) Memorando o notificación por correo electrónico al Subdirector(a) Administrativo(a)  y Financiero(a)
Direcciones Territoriales: 
1.) Informe de inventario y conciliación (Fecha del inventario, Responsable, Descripción del bien, número de la placa, fecha de ingreso, valor histórico, valor en libros y ubicación)
2.) Memorando o notificación por correo electrónico al Director territorial</t>
  </si>
  <si>
    <t>El Responsable del Almacén General y el profesional con funciones de contador almacenista en las Direcciones Territoriales, mensualmente valida las entradas y salidas registradas en el aplicativo de inventarios.
Periodicidad: Mensual
Evidencia: Sede Central: Reporte mensual detallado de movimiento de ingresos y egresos de bienes de consumo, control administrativo y activos, generado en el sistema de inventarios.
Direcciones Territoriales: Reporte mensual detallado de movimiento de ingresos y egresos de bienes de consumo, control administrativo y activos, generado en el sistema de inventarios.</t>
  </si>
  <si>
    <t xml:space="preserve">El Secretario (a) Técnico (a) del Comité de Conciliación en la Sede Central deberá en los meses de febrero y Agosto verificará el cumplimiento de las actividades fijadas dentro de la PPDA, de conformidad con el cronograma de las mismas.
Periodicidad: Semestral
Evidencia:  Reporte de seguimiento del Modulo de PPDA en el Ekogui </t>
  </si>
  <si>
    <t xml:space="preserve">El Secretario (a) Técnico (a) del Comité de Conciliación en la Sede Central,  informará a las áreas involucradas de los procesos prejudiciales o judiciales que tenga como hecho generador las causas priorizadas dentro de la PPDA, y  a los miembros del Comité de Conciliación de la entidad sobre nuevas demandas o solicitudes de conciliaciones por esas causas.
Periodicidad: Semestral
Evidencia: Correo electrónico o memorando enviado a las áreas y acta Comité de Conciliación. </t>
  </si>
  <si>
    <t>El Grupo Interno de Gestión contractual de la sede central y el profesional con funciones de abogado en las direcciones territoriales, validará que las dependencias que solicitan adelantar un proceso de contratación para la adquisición del bien, servicio, obra requerido por una modalidad de selección distinta a la contratación directa y acuerdo marco de precios, hayan adjuntado el estudio de mercado.
Periodicidad: Cuatrimestral
Evidencia:
Sede Central: Estudio de mercado del 5% de los procesos contractuales (distintos a contratación directa y acuerdo marco de precios) del periodo a reportar.
Direcciones Territoriales: Estudio de mercado del 100% de los procesos contractuales (distintos a contratación directa  y acuerdo marco de precios) del periodo a reportar.</t>
  </si>
  <si>
    <t>El Responsable del SGA de la Sede Central (Subdirección Administrativa y Financiera) y las  Direcciones Territoriales realizan seguimiento semestral al cumplimiento del Plan de Trabajo del Subsistema Ambiental con el fin de asegurar la implementación de las actividades contempladas en el plan, verificando que la información incluida y reportada corresponda al avance, conforme a las evidencias suministradas. 
Periodicidad: Semestral
Evidencia Sede Central y Direcciones Territoriales: 1. Informe de Seguimiento al cumplimiento de indicadores y metas del Plan de Trabajo del Subsistema Ambiental.
2. Matriz de seguimiento al desempeño ambiental.</t>
  </si>
  <si>
    <t xml:space="preserve">El servidor público o contratista del equipo de trabajo IDE Corporativa, verifica el cumplimiento de los estándares y lineamientos de la información geoespacial,  con el fin de asegurar su calidad y pertinencia.
Periodicidad: Semestral
Evidencia: Reporte de cumplimiento </t>
  </si>
  <si>
    <t>El  equipo de trabajo IDE Corporativa, realiza reuniones con los enlaces de las areas productoras de información, con el fin de verificar la articulación y cumplimiento de los lineamientos, politicas y estandares emitidos por la IDE Corporativa.
Periodicidad: Trimestral
Evidencia: Registro de asistencia</t>
  </si>
  <si>
    <t>1. Presiones por proveedores o clientes.</t>
  </si>
  <si>
    <t>El subdirector de Avalúos  o quien haga sus veces, realiza seguimiento quincenal a la ejecución de los avalúos comerciales, con el fin de verificar el cumplimiento de los tiempos de respuesta e identificar situaciones que afecten la oportunidad en la entrega de los mismos.
Periodicidad: Quincenal
Evidencia: 
Reporte de seguimiento de los avalúos comerciales (Fuente de información matriz de seguimiento de avalúos comerciales)</t>
  </si>
  <si>
    <r>
      <rPr>
        <strike/>
        <sz val="11"/>
        <color theme="1"/>
        <rFont val="Arial"/>
        <family val="2"/>
      </rPr>
      <t xml:space="preserve">
</t>
    </r>
    <r>
      <rPr>
        <sz val="11"/>
        <color theme="1"/>
        <rFont val="Arial"/>
        <family val="2"/>
      </rPr>
      <t>1. Incumplimiento de los Lineamientos en las Direcciones Territoriales dados por la Dirección de Gestión Catastral.
2. Recursos inadecuados o insuficientes (personal  y presupuestal).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</si>
</sst>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9" x14ac:knownFonts="1">
    <font>
      <sz val="11"/>
      <color theme="1"/>
      <name val="Calibri"/>
      <family val="2"/>
      <scheme val="minor"/>
    </font>
    <font>
      <sz val="10"/>
      <color theme="1"/>
      <name val="Arial Narrow"/>
      <family val="2"/>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9"/>
      <color indexed="81"/>
      <name val="Tahoma"/>
      <family val="2"/>
    </font>
    <font>
      <b/>
      <sz val="10"/>
      <color theme="1"/>
      <name val="Arial Narrow"/>
      <family val="2"/>
    </font>
    <font>
      <b/>
      <sz val="9"/>
      <color indexed="81"/>
      <name val="Tahoma"/>
      <family val="2"/>
    </font>
    <font>
      <b/>
      <sz val="10"/>
      <color rgb="FF000000"/>
      <name val="Arial Narrow"/>
      <family val="2"/>
    </font>
    <font>
      <sz val="9"/>
      <color indexed="81"/>
      <name val="Arial Narrow"/>
      <family val="2"/>
    </font>
    <font>
      <b/>
      <sz val="11"/>
      <color theme="1"/>
      <name val="Arial"/>
      <family val="2"/>
    </font>
    <font>
      <b/>
      <sz val="11"/>
      <name val="Arial"/>
      <family val="2"/>
    </font>
    <font>
      <sz val="11"/>
      <name val="Arial"/>
      <family val="2"/>
    </font>
    <font>
      <b/>
      <sz val="12"/>
      <name val="Arial"/>
      <family val="2"/>
    </font>
    <font>
      <b/>
      <sz val="10"/>
      <name val="Arial"/>
      <family val="2"/>
    </font>
    <font>
      <sz val="11"/>
      <color theme="1"/>
      <name val="Arial"/>
      <family val="2"/>
    </font>
    <font>
      <b/>
      <u/>
      <sz val="11"/>
      <name val="Arial"/>
      <family val="2"/>
    </font>
    <font>
      <b/>
      <sz val="11"/>
      <color theme="1"/>
      <name val="Calibri"/>
      <family val="2"/>
      <scheme val="minor"/>
    </font>
    <font>
      <b/>
      <sz val="16"/>
      <color theme="1"/>
      <name val="Calibri"/>
      <family val="2"/>
      <scheme val="minor"/>
    </font>
    <font>
      <b/>
      <sz val="18"/>
      <color theme="1"/>
      <name val="Calibri"/>
      <family val="2"/>
      <scheme val="minor"/>
    </font>
    <font>
      <b/>
      <sz val="8"/>
      <color theme="1"/>
      <name val="Arial"/>
      <family val="2"/>
    </font>
    <font>
      <sz val="8"/>
      <color theme="1"/>
      <name val="Arial"/>
      <family val="2"/>
    </font>
    <font>
      <sz val="11"/>
      <color indexed="8"/>
      <name val="Calibri"/>
      <family val="2"/>
    </font>
    <font>
      <sz val="11"/>
      <color indexed="8"/>
      <name val="Calibri"/>
      <family val="2"/>
      <scheme val="minor"/>
    </font>
    <font>
      <b/>
      <sz val="10"/>
      <name val="Calibri"/>
      <family val="2"/>
      <scheme val="minor"/>
    </font>
    <font>
      <sz val="9"/>
      <color theme="1"/>
      <name val="Calibri"/>
      <family val="2"/>
      <scheme val="minor"/>
    </font>
    <font>
      <sz val="10"/>
      <color rgb="FF000000"/>
      <name val="Calibri"/>
      <family val="2"/>
      <scheme val="minor"/>
    </font>
    <font>
      <b/>
      <sz val="11"/>
      <color theme="9" tint="-0.249977111117893"/>
      <name val="Arial"/>
      <family val="2"/>
    </font>
    <font>
      <sz val="11"/>
      <color theme="9" tint="-0.249977111117893"/>
      <name val="Arial"/>
      <family val="2"/>
    </font>
    <font>
      <sz val="9"/>
      <color rgb="FF0D0D0D"/>
      <name val="Arial"/>
      <family val="2"/>
    </font>
    <font>
      <b/>
      <sz val="12"/>
      <color indexed="81"/>
      <name val="Tahoma"/>
      <family val="2"/>
    </font>
    <font>
      <sz val="12"/>
      <color indexed="81"/>
      <name val="Tahoma"/>
      <family val="2"/>
    </font>
    <font>
      <sz val="10"/>
      <color rgb="FF0D0D0D"/>
      <name val="Arial Narrow"/>
      <family val="2"/>
    </font>
    <font>
      <sz val="12"/>
      <color rgb="FF0D0D0D"/>
      <name val="Arial Narrow"/>
      <family val="2"/>
    </font>
    <font>
      <strike/>
      <sz val="11"/>
      <color theme="1"/>
      <name val="Arial"/>
      <family val="2"/>
    </font>
    <font>
      <b/>
      <sz val="11"/>
      <color theme="1"/>
      <name val="Onyx"/>
      <family val="5"/>
    </font>
    <font>
      <sz val="10"/>
      <color theme="1"/>
      <name val="Arial"/>
      <family val="2"/>
    </font>
    <font>
      <b/>
      <sz val="11"/>
      <color theme="1" tint="4.9989318521683403E-2"/>
      <name val="Arial"/>
      <family val="2"/>
    </font>
    <font>
      <b/>
      <sz val="12"/>
      <color theme="1" tint="4.9989318521683403E-2"/>
      <name val="Arial"/>
      <family val="2"/>
    </font>
    <font>
      <sz val="11"/>
      <color rgb="FF00B050"/>
      <name val="Arial"/>
      <family val="2"/>
    </font>
    <font>
      <strike/>
      <sz val="11"/>
      <color rgb="FFFF0000"/>
      <name val="Arial"/>
      <family val="2"/>
    </font>
    <font>
      <sz val="11"/>
      <color rgb="FFFF0000"/>
      <name val="Arial"/>
      <family val="2"/>
    </font>
    <font>
      <b/>
      <sz val="12"/>
      <color theme="1"/>
      <name val="Arial"/>
      <family val="2"/>
    </font>
    <font>
      <strike/>
      <sz val="10"/>
      <color theme="1"/>
      <name val="Arial"/>
      <family val="2"/>
    </font>
    <font>
      <b/>
      <sz val="16"/>
      <name val="Arial"/>
      <family val="2"/>
    </font>
    <font>
      <b/>
      <sz val="11"/>
      <color rgb="FFC00000"/>
      <name val="Arial"/>
      <family val="2"/>
    </font>
  </fonts>
  <fills count="31">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lightUp">
        <fgColor theme="0" tint="-0.14996795556505021"/>
        <bgColor theme="4" tint="0.59996337778862885"/>
      </patternFill>
    </fill>
    <fill>
      <patternFill patternType="solid">
        <fgColor rgb="FFEE8036"/>
        <bgColor indexed="64"/>
      </patternFill>
    </fill>
    <fill>
      <patternFill patternType="solid">
        <fgColor theme="2" tint="-0.249977111117893"/>
        <bgColor indexed="64"/>
      </patternFill>
    </fill>
    <fill>
      <patternFill patternType="lightUp">
        <fgColor theme="0" tint="-0.14996795556505021"/>
        <bgColor rgb="FFFFC000"/>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99"/>
        <bgColor indexed="64"/>
      </patternFill>
    </fill>
    <fill>
      <patternFill patternType="solid">
        <fgColor theme="0" tint="-0.34998626667073579"/>
        <bgColor indexed="64"/>
      </patternFill>
    </fill>
    <fill>
      <patternFill patternType="solid">
        <fgColor rgb="FFFFCC00"/>
        <bgColor indexed="64"/>
      </patternFill>
    </fill>
  </fills>
  <borders count="108">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medium">
        <color indexed="64"/>
      </left>
      <right style="medium">
        <color indexed="64"/>
      </right>
      <top style="dashed">
        <color theme="9" tint="-0.24994659260841701"/>
      </top>
      <bottom/>
      <diagonal/>
    </border>
    <border>
      <left/>
      <right style="dashed">
        <color theme="9" tint="-0.24994659260841701"/>
      </right>
      <top/>
      <bottom/>
      <diagonal/>
    </border>
    <border>
      <left style="dashed">
        <color theme="9" tint="-0.24994659260841701"/>
      </left>
      <right style="dashed">
        <color theme="9" tint="-0.24994659260841701"/>
      </right>
      <top/>
      <bottom/>
      <diagonal/>
    </border>
    <border>
      <left style="medium">
        <color indexed="64"/>
      </left>
      <right style="medium">
        <color indexed="64"/>
      </right>
      <top style="medium">
        <color indexed="64"/>
      </top>
      <bottom style="dashed">
        <color theme="9" tint="-0.24994659260841701"/>
      </bottom>
      <diagonal/>
    </border>
    <border>
      <left style="dashed">
        <color theme="9" tint="-0.24994659260841701"/>
      </left>
      <right style="dashed">
        <color theme="9" tint="-0.24994659260841701"/>
      </right>
      <top style="medium">
        <color indexed="64"/>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theme="0" tint="-0.24994659260841701"/>
      </left>
      <right style="medium">
        <color theme="0" tint="-0.24994659260841701"/>
      </right>
      <top/>
      <bottom style="thin">
        <color theme="0" tint="-0.24994659260841701"/>
      </bottom>
      <diagonal/>
    </border>
    <border>
      <left style="medium">
        <color theme="0" tint="-0.24994659260841701"/>
      </left>
      <right style="medium">
        <color theme="0" tint="-0.24994659260841701"/>
      </right>
      <top style="thin">
        <color theme="0" tint="-0.24994659260841701"/>
      </top>
      <bottom style="thin">
        <color theme="0" tint="-0.24994659260841701"/>
      </bottom>
      <diagonal/>
    </border>
    <border>
      <left style="medium">
        <color theme="0" tint="-0.24994659260841701"/>
      </left>
      <right style="medium">
        <color theme="0" tint="-0.24994659260841701"/>
      </right>
      <top style="thin">
        <color theme="0" tint="-0.24994659260841701"/>
      </top>
      <bottom style="medium">
        <color theme="0" tint="-0.24994659260841701"/>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medium">
        <color indexed="64"/>
      </left>
      <right style="medium">
        <color indexed="64"/>
      </right>
      <top style="dashed">
        <color theme="9" tint="-0.24994659260841701"/>
      </top>
      <bottom style="medium">
        <color indexed="64"/>
      </bottom>
      <diagonal/>
    </border>
    <border>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style="dashed">
        <color theme="9" tint="-0.24994659260841701"/>
      </top>
      <bottom style="medium">
        <color indexed="64"/>
      </bottom>
      <diagonal/>
    </border>
    <border>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thin">
        <color indexed="64"/>
      </left>
      <right style="thin">
        <color indexed="64"/>
      </right>
      <top style="medium">
        <color auto="1"/>
      </top>
      <bottom/>
      <diagonal/>
    </border>
  </borders>
  <cellStyleXfs count="8">
    <xf numFmtId="0" fontId="0" fillId="0" borderId="0"/>
    <xf numFmtId="9" fontId="15" fillId="0" borderId="0" applyFont="0" applyFill="0" applyBorder="0" applyAlignment="0" applyProtection="0"/>
    <xf numFmtId="0" fontId="47" fillId="0" borderId="0"/>
    <xf numFmtId="0" fontId="48" fillId="0" borderId="0"/>
    <xf numFmtId="0" fontId="6" fillId="0" borderId="0"/>
    <xf numFmtId="0" fontId="36" fillId="0" borderId="0"/>
    <xf numFmtId="0" fontId="47" fillId="0" borderId="0"/>
    <xf numFmtId="0" fontId="75" fillId="0" borderId="0"/>
  </cellStyleXfs>
  <cellXfs count="760">
    <xf numFmtId="0" fontId="0" fillId="0" borderId="0" xfId="0"/>
    <xf numFmtId="0" fontId="2" fillId="0" borderId="0" xfId="0" applyFont="1"/>
    <xf numFmtId="0" fontId="2" fillId="0" borderId="0" xfId="0" applyFont="1" applyAlignment="1">
      <alignment horizontal="center" vertical="center"/>
    </xf>
    <xf numFmtId="0" fontId="9" fillId="0" borderId="0" xfId="0" applyFont="1" applyAlignment="1">
      <alignment horizontal="center" vertical="center" wrapText="1"/>
    </xf>
    <xf numFmtId="0" fontId="10" fillId="5" borderId="0" xfId="0" applyFont="1" applyFill="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0" borderId="2" xfId="0" applyFont="1" applyBorder="1" applyAlignment="1">
      <alignment horizontal="justify" vertical="center" wrapText="1" readingOrder="1"/>
    </xf>
    <xf numFmtId="9" fontId="11" fillId="0" borderId="2" xfId="0" applyNumberFormat="1" applyFont="1" applyBorder="1" applyAlignment="1">
      <alignment horizontal="center" vertical="center" wrapText="1" readingOrder="1"/>
    </xf>
    <xf numFmtId="0" fontId="11" fillId="6"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3" borderId="1" xfId="0" applyFont="1" applyFill="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2" fillId="8" borderId="1" xfId="0" applyFont="1" applyFill="1" applyBorder="1" applyAlignment="1">
      <alignment horizontal="center" vertical="center" wrapText="1" readingOrder="1"/>
    </xf>
    <xf numFmtId="0" fontId="16" fillId="0" borderId="0" xfId="0" applyFont="1"/>
    <xf numFmtId="0" fontId="14" fillId="0" borderId="0" xfId="0" applyFont="1"/>
    <xf numFmtId="0" fontId="5" fillId="2" borderId="0" xfId="0" applyFont="1" applyFill="1" applyAlignment="1">
      <alignment horizontal="center" vertical="center"/>
    </xf>
    <xf numFmtId="0" fontId="28" fillId="0" borderId="0" xfId="0" applyFont="1" applyAlignment="1">
      <alignment vertical="center"/>
    </xf>
    <xf numFmtId="0" fontId="29" fillId="0" borderId="0" xfId="0" applyFont="1"/>
    <xf numFmtId="0" fontId="27" fillId="0" borderId="0" xfId="0" applyFont="1"/>
    <xf numFmtId="0" fontId="0" fillId="0" borderId="0" xfId="0" pivotButton="1"/>
    <xf numFmtId="0" fontId="13" fillId="0" borderId="0" xfId="0" applyFont="1" applyAlignment="1">
      <alignment horizontal="justify" vertical="center" wrapText="1" readingOrder="1"/>
    </xf>
    <xf numFmtId="0" fontId="30" fillId="0" borderId="0" xfId="0" applyFont="1"/>
    <xf numFmtId="0" fontId="32" fillId="5" borderId="0" xfId="0" applyFont="1" applyFill="1" applyAlignment="1">
      <alignment horizontal="center" vertical="center" wrapText="1" readingOrder="1"/>
    </xf>
    <xf numFmtId="0" fontId="33" fillId="0" borderId="2" xfId="0" applyFont="1" applyBorder="1" applyAlignment="1">
      <alignment horizontal="justify" vertical="center" wrapText="1" readingOrder="1"/>
    </xf>
    <xf numFmtId="0" fontId="33" fillId="0" borderId="1" xfId="0" applyFont="1" applyBorder="1" applyAlignment="1">
      <alignment horizontal="justify" vertical="center" wrapText="1" readingOrder="1"/>
    </xf>
    <xf numFmtId="0" fontId="33" fillId="4" borderId="2" xfId="0" applyFont="1" applyFill="1" applyBorder="1" applyAlignment="1">
      <alignment horizontal="center" vertical="center" wrapText="1" readingOrder="1"/>
    </xf>
    <xf numFmtId="0" fontId="33" fillId="6" borderId="1" xfId="0" applyFont="1" applyFill="1" applyBorder="1" applyAlignment="1">
      <alignment horizontal="center" vertical="center" wrapText="1" readingOrder="1"/>
    </xf>
    <xf numFmtId="0" fontId="33" fillId="3" borderId="1" xfId="0" applyFont="1" applyFill="1" applyBorder="1" applyAlignment="1">
      <alignment horizontal="center" vertical="center" wrapText="1" readingOrder="1"/>
    </xf>
    <xf numFmtId="0" fontId="33" fillId="7"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3" fillId="0" borderId="2" xfId="0" applyFont="1" applyBorder="1" applyAlignment="1">
      <alignment horizontal="center" vertical="center" wrapText="1" readingOrder="1"/>
    </xf>
    <xf numFmtId="0" fontId="33" fillId="0" borderId="1" xfId="0" applyFont="1" applyBorder="1" applyAlignment="1">
      <alignment horizontal="center" vertical="center" wrapText="1" readingOrder="1"/>
    </xf>
    <xf numFmtId="0" fontId="20" fillId="10" borderId="3" xfId="0" applyFont="1" applyFill="1" applyBorder="1" applyAlignment="1" applyProtection="1">
      <alignment horizontal="center" vertical="center" wrapText="1" readingOrder="1"/>
      <protection hidden="1"/>
    </xf>
    <xf numFmtId="0" fontId="20" fillId="10" borderId="10" xfId="0" applyFont="1" applyFill="1" applyBorder="1" applyAlignment="1" applyProtection="1">
      <alignment horizontal="center" vertical="center" wrapText="1" readingOrder="1"/>
      <protection hidden="1"/>
    </xf>
    <xf numFmtId="0" fontId="20" fillId="10" borderId="4" xfId="0" applyFont="1" applyFill="1" applyBorder="1" applyAlignment="1" applyProtection="1">
      <alignment horizontal="center" vertical="center" wrapText="1" readingOrder="1"/>
      <protection hidden="1"/>
    </xf>
    <xf numFmtId="0" fontId="20" fillId="11" borderId="3" xfId="0" applyFont="1" applyFill="1" applyBorder="1" applyAlignment="1" applyProtection="1">
      <alignment horizontal="center" wrapText="1" readingOrder="1"/>
      <protection hidden="1"/>
    </xf>
    <xf numFmtId="0" fontId="20" fillId="11" borderId="10" xfId="0" applyFont="1" applyFill="1" applyBorder="1" applyAlignment="1" applyProtection="1">
      <alignment horizontal="center" wrapText="1" readingOrder="1"/>
      <protection hidden="1"/>
    </xf>
    <xf numFmtId="0" fontId="20" fillId="11" borderId="4" xfId="0" applyFont="1" applyFill="1" applyBorder="1" applyAlignment="1" applyProtection="1">
      <alignment horizontal="center" wrapText="1" readingOrder="1"/>
      <protection hidden="1"/>
    </xf>
    <xf numFmtId="0" fontId="20" fillId="10" borderId="5" xfId="0" applyFont="1" applyFill="1" applyBorder="1" applyAlignment="1" applyProtection="1">
      <alignment horizontal="center" vertical="center" wrapText="1" readingOrder="1"/>
      <protection hidden="1"/>
    </xf>
    <xf numFmtId="0" fontId="20" fillId="10" borderId="0" xfId="0" applyFont="1" applyFill="1" applyAlignment="1" applyProtection="1">
      <alignment horizontal="center" vertical="center" wrapText="1" readingOrder="1"/>
      <protection hidden="1"/>
    </xf>
    <xf numFmtId="0" fontId="20" fillId="10" borderId="6" xfId="0" applyFont="1" applyFill="1" applyBorder="1" applyAlignment="1" applyProtection="1">
      <alignment horizontal="center" vertical="center" wrapText="1" readingOrder="1"/>
      <protection hidden="1"/>
    </xf>
    <xf numFmtId="0" fontId="20" fillId="11" borderId="5" xfId="0" applyFont="1" applyFill="1" applyBorder="1" applyAlignment="1" applyProtection="1">
      <alignment horizontal="center" wrapText="1" readingOrder="1"/>
      <protection hidden="1"/>
    </xf>
    <xf numFmtId="0" fontId="20" fillId="11" borderId="0" xfId="0" applyFont="1" applyFill="1" applyAlignment="1" applyProtection="1">
      <alignment horizontal="center" wrapText="1" readingOrder="1"/>
      <protection hidden="1"/>
    </xf>
    <xf numFmtId="0" fontId="20" fillId="11" borderId="6" xfId="0" applyFont="1" applyFill="1" applyBorder="1" applyAlignment="1" applyProtection="1">
      <alignment horizontal="center" wrapText="1" readingOrder="1"/>
      <protection hidden="1"/>
    </xf>
    <xf numFmtId="0" fontId="20" fillId="10" borderId="7" xfId="0" applyFont="1" applyFill="1" applyBorder="1" applyAlignment="1" applyProtection="1">
      <alignment horizontal="center" vertical="center" wrapText="1" readingOrder="1"/>
      <protection hidden="1"/>
    </xf>
    <xf numFmtId="0" fontId="20" fillId="10" borderId="9" xfId="0" applyFont="1" applyFill="1" applyBorder="1" applyAlignment="1" applyProtection="1">
      <alignment horizontal="center" vertical="center" wrapText="1" readingOrder="1"/>
      <protection hidden="1"/>
    </xf>
    <xf numFmtId="0" fontId="20" fillId="10" borderId="8" xfId="0" applyFont="1" applyFill="1" applyBorder="1" applyAlignment="1" applyProtection="1">
      <alignment horizontal="center" vertical="center" wrapText="1" readingOrder="1"/>
      <protection hidden="1"/>
    </xf>
    <xf numFmtId="0" fontId="20" fillId="11" borderId="7" xfId="0" applyFont="1" applyFill="1" applyBorder="1" applyAlignment="1" applyProtection="1">
      <alignment horizontal="center" wrapText="1" readingOrder="1"/>
      <protection hidden="1"/>
    </xf>
    <xf numFmtId="0" fontId="20" fillId="11" borderId="9" xfId="0" applyFont="1" applyFill="1" applyBorder="1" applyAlignment="1" applyProtection="1">
      <alignment horizontal="center" wrapText="1" readingOrder="1"/>
      <protection hidden="1"/>
    </xf>
    <xf numFmtId="0" fontId="20" fillId="11" borderId="8" xfId="0" applyFont="1" applyFill="1" applyBorder="1" applyAlignment="1" applyProtection="1">
      <alignment horizontal="center" wrapText="1" readingOrder="1"/>
      <protection hidden="1"/>
    </xf>
    <xf numFmtId="0" fontId="20" fillId="12" borderId="3" xfId="0" applyFont="1" applyFill="1" applyBorder="1" applyAlignment="1" applyProtection="1">
      <alignment horizontal="center" wrapText="1" readingOrder="1"/>
      <protection hidden="1"/>
    </xf>
    <xf numFmtId="0" fontId="20" fillId="12" borderId="10" xfId="0" applyFont="1" applyFill="1" applyBorder="1" applyAlignment="1" applyProtection="1">
      <alignment horizontal="center" wrapText="1" readingOrder="1"/>
      <protection hidden="1"/>
    </xf>
    <xf numFmtId="0" fontId="20" fillId="12" borderId="4" xfId="0" applyFont="1" applyFill="1" applyBorder="1" applyAlignment="1" applyProtection="1">
      <alignment horizontal="center" wrapText="1" readingOrder="1"/>
      <protection hidden="1"/>
    </xf>
    <xf numFmtId="0" fontId="20" fillId="12" borderId="5"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6" xfId="0" applyFont="1" applyFill="1" applyBorder="1" applyAlignment="1" applyProtection="1">
      <alignment horizontal="center" wrapText="1" readingOrder="1"/>
      <protection hidden="1"/>
    </xf>
    <xf numFmtId="0" fontId="20" fillId="12" borderId="7" xfId="0" applyFont="1" applyFill="1" applyBorder="1" applyAlignment="1" applyProtection="1">
      <alignment horizontal="center" wrapText="1" readingOrder="1"/>
      <protection hidden="1"/>
    </xf>
    <xf numFmtId="0" fontId="20" fillId="12" borderId="9" xfId="0" applyFont="1" applyFill="1" applyBorder="1" applyAlignment="1" applyProtection="1">
      <alignment horizontal="center" wrapText="1" readingOrder="1"/>
      <protection hidden="1"/>
    </xf>
    <xf numFmtId="0" fontId="20" fillId="12" borderId="8" xfId="0" applyFont="1" applyFill="1" applyBorder="1" applyAlignment="1" applyProtection="1">
      <alignment horizontal="center" wrapText="1" readingOrder="1"/>
      <protection hidden="1"/>
    </xf>
    <xf numFmtId="0" fontId="20" fillId="4" borderId="3" xfId="0" applyFont="1" applyFill="1" applyBorder="1" applyAlignment="1" applyProtection="1">
      <alignment horizontal="center" wrapText="1" readingOrder="1"/>
      <protection hidden="1"/>
    </xf>
    <xf numFmtId="0" fontId="20" fillId="4" borderId="10" xfId="0" applyFont="1" applyFill="1" applyBorder="1" applyAlignment="1" applyProtection="1">
      <alignment horizontal="center" wrapText="1" readingOrder="1"/>
      <protection hidden="1"/>
    </xf>
    <xf numFmtId="0" fontId="20" fillId="4" borderId="4" xfId="0" applyFont="1" applyFill="1" applyBorder="1" applyAlignment="1" applyProtection="1">
      <alignment horizontal="center" wrapText="1" readingOrder="1"/>
      <protection hidden="1"/>
    </xf>
    <xf numFmtId="0" fontId="20" fillId="4" borderId="5" xfId="0" applyFont="1" applyFill="1" applyBorder="1" applyAlignment="1" applyProtection="1">
      <alignment horizontal="center" wrapText="1" readingOrder="1"/>
      <protection hidden="1"/>
    </xf>
    <xf numFmtId="0" fontId="20" fillId="4" borderId="0" xfId="0" applyFont="1" applyFill="1" applyAlignment="1" applyProtection="1">
      <alignment horizontal="center" wrapText="1" readingOrder="1"/>
      <protection hidden="1"/>
    </xf>
    <xf numFmtId="0" fontId="20" fillId="4" borderId="6" xfId="0" applyFont="1" applyFill="1" applyBorder="1" applyAlignment="1" applyProtection="1">
      <alignment horizontal="center" wrapText="1" readingOrder="1"/>
      <protection hidden="1"/>
    </xf>
    <xf numFmtId="0" fontId="20" fillId="4" borderId="7" xfId="0" applyFont="1" applyFill="1" applyBorder="1" applyAlignment="1" applyProtection="1">
      <alignment horizontal="center" wrapText="1" readingOrder="1"/>
      <protection hidden="1"/>
    </xf>
    <xf numFmtId="0" fontId="20" fillId="4" borderId="9" xfId="0" applyFont="1" applyFill="1" applyBorder="1" applyAlignment="1" applyProtection="1">
      <alignment horizontal="center" wrapText="1" readingOrder="1"/>
      <protection hidden="1"/>
    </xf>
    <xf numFmtId="0" fontId="20" fillId="4" borderId="8" xfId="0" applyFont="1" applyFill="1" applyBorder="1" applyAlignment="1" applyProtection="1">
      <alignment horizontal="center" wrapText="1" readingOrder="1"/>
      <protection hidden="1"/>
    </xf>
    <xf numFmtId="0" fontId="24" fillId="12" borderId="10" xfId="0" applyFont="1" applyFill="1" applyBorder="1" applyAlignment="1" applyProtection="1">
      <alignment horizontal="center" wrapText="1" readingOrder="1"/>
      <protection hidden="1"/>
    </xf>
    <xf numFmtId="0" fontId="0" fillId="2" borderId="0" xfId="0" applyFill="1"/>
    <xf numFmtId="0" fontId="49" fillId="2" borderId="37" xfId="2" applyFont="1" applyFill="1" applyBorder="1"/>
    <xf numFmtId="0" fontId="49" fillId="2" borderId="38" xfId="2" applyFont="1" applyFill="1" applyBorder="1"/>
    <xf numFmtId="0" fontId="49" fillId="2" borderId="39" xfId="2" applyFont="1" applyFill="1" applyBorder="1"/>
    <xf numFmtId="0" fontId="17" fillId="2" borderId="0" xfId="0" applyFont="1" applyFill="1" applyAlignment="1">
      <alignment vertical="center"/>
    </xf>
    <xf numFmtId="0" fontId="6" fillId="2" borderId="0" xfId="0" applyFont="1" applyFill="1"/>
    <xf numFmtId="0" fontId="36" fillId="2" borderId="0" xfId="0" applyFont="1" applyFill="1"/>
    <xf numFmtId="0" fontId="37" fillId="2" borderId="20" xfId="0" applyFont="1" applyFill="1" applyBorder="1" applyAlignment="1">
      <alignment horizontal="center" vertical="center" wrapText="1" readingOrder="1"/>
    </xf>
    <xf numFmtId="0" fontId="38" fillId="2" borderId="20" xfId="0" applyFont="1" applyFill="1" applyBorder="1" applyAlignment="1">
      <alignment horizontal="justify" vertical="center" wrapText="1" readingOrder="1"/>
    </xf>
    <xf numFmtId="9" fontId="37" fillId="2" borderId="29" xfId="0" applyNumberFormat="1"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8" fillId="2" borderId="19" xfId="0" applyFont="1" applyFill="1" applyBorder="1" applyAlignment="1">
      <alignment horizontal="justify" vertical="center" wrapText="1" readingOrder="1"/>
    </xf>
    <xf numFmtId="9" fontId="37" fillId="2" borderId="24" xfId="0" applyNumberFormat="1" applyFont="1" applyFill="1" applyBorder="1" applyAlignment="1">
      <alignment horizontal="center" vertical="center" wrapText="1" readingOrder="1"/>
    </xf>
    <xf numFmtId="0" fontId="38" fillId="2" borderId="24"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38" fillId="2" borderId="26" xfId="0" applyFont="1" applyFill="1" applyBorder="1" applyAlignment="1">
      <alignment horizontal="justify" vertical="center" wrapText="1" readingOrder="1"/>
    </xf>
    <xf numFmtId="0" fontId="38" fillId="2" borderId="27" xfId="0" applyFont="1" applyFill="1" applyBorder="1" applyAlignment="1">
      <alignment horizontal="center" vertical="center" wrapText="1" readingOrder="1"/>
    </xf>
    <xf numFmtId="0" fontId="46" fillId="2" borderId="0" xfId="0" applyFont="1" applyFill="1"/>
    <xf numFmtId="0" fontId="37" fillId="14" borderId="31" xfId="0" applyFont="1" applyFill="1" applyBorder="1" applyAlignment="1">
      <alignment horizontal="center" vertical="center" wrapText="1" readingOrder="1"/>
    </xf>
    <xf numFmtId="0" fontId="37" fillId="14" borderId="32" xfId="0" applyFont="1" applyFill="1" applyBorder="1" applyAlignment="1">
      <alignment horizontal="center" vertical="center" wrapText="1" readingOrder="1"/>
    </xf>
    <xf numFmtId="0" fontId="14" fillId="2" borderId="0" xfId="0" applyFont="1" applyFill="1"/>
    <xf numFmtId="0" fontId="31" fillId="2" borderId="0" xfId="0" applyFont="1" applyFill="1" applyAlignment="1">
      <alignment horizontal="center" vertical="center" wrapText="1"/>
    </xf>
    <xf numFmtId="0" fontId="13" fillId="2" borderId="0" xfId="0" applyFont="1" applyFill="1" applyAlignment="1">
      <alignment horizontal="justify" vertical="center" wrapText="1" readingOrder="1"/>
    </xf>
    <xf numFmtId="0" fontId="5" fillId="2" borderId="0" xfId="0" applyFont="1" applyFill="1" applyAlignment="1">
      <alignment vertical="center"/>
    </xf>
    <xf numFmtId="0" fontId="16" fillId="2" borderId="0" xfId="0" applyFont="1" applyFill="1"/>
    <xf numFmtId="0" fontId="5" fillId="2" borderId="0" xfId="0" applyFont="1" applyFill="1" applyAlignment="1">
      <alignment horizontal="left" vertical="center"/>
    </xf>
    <xf numFmtId="0" fontId="49" fillId="2" borderId="5" xfId="2" applyFont="1" applyFill="1" applyBorder="1"/>
    <xf numFmtId="0" fontId="54" fillId="2" borderId="0" xfId="0" applyFont="1" applyFill="1" applyAlignment="1">
      <alignment horizontal="left" vertical="center" wrapText="1"/>
    </xf>
    <xf numFmtId="0" fontId="55" fillId="2" borderId="0" xfId="0" applyFont="1" applyFill="1" applyAlignment="1">
      <alignment horizontal="left" vertical="top" wrapText="1"/>
    </xf>
    <xf numFmtId="0" fontId="49" fillId="2" borderId="0" xfId="2" applyFont="1" applyFill="1"/>
    <xf numFmtId="0" fontId="49" fillId="2" borderId="6" xfId="2" applyFont="1" applyFill="1" applyBorder="1"/>
    <xf numFmtId="0" fontId="49" fillId="2" borderId="7" xfId="2" applyFont="1" applyFill="1" applyBorder="1"/>
    <xf numFmtId="0" fontId="49" fillId="2" borderId="9" xfId="2" applyFont="1" applyFill="1" applyBorder="1"/>
    <xf numFmtId="0" fontId="49" fillId="2" borderId="8" xfId="2" applyFont="1" applyFill="1" applyBorder="1"/>
    <xf numFmtId="0" fontId="53" fillId="2" borderId="0" xfId="2" applyFont="1" applyFill="1" applyAlignment="1">
      <alignment horizontal="left" vertical="center" wrapText="1"/>
    </xf>
    <xf numFmtId="0" fontId="49" fillId="2" borderId="0" xfId="2" applyFont="1" applyFill="1" applyAlignment="1">
      <alignment horizontal="left" vertical="center" wrapText="1"/>
    </xf>
    <xf numFmtId="0" fontId="49" fillId="2" borderId="0" xfId="2" quotePrefix="1" applyFont="1" applyFill="1" applyAlignment="1">
      <alignment horizontal="left" vertical="center" wrapText="1"/>
    </xf>
    <xf numFmtId="0" fontId="51" fillId="2" borderId="5" xfId="2" quotePrefix="1" applyFont="1" applyFill="1" applyBorder="1" applyAlignment="1">
      <alignment horizontal="left" vertical="top" wrapText="1"/>
    </xf>
    <xf numFmtId="0" fontId="52" fillId="2" borderId="0" xfId="2" quotePrefix="1" applyFont="1" applyFill="1" applyAlignment="1">
      <alignment horizontal="left" vertical="top" wrapText="1"/>
    </xf>
    <xf numFmtId="0" fontId="52" fillId="2" borderId="6" xfId="2" quotePrefix="1" applyFont="1" applyFill="1" applyBorder="1" applyAlignment="1">
      <alignment horizontal="left" vertical="top" wrapText="1"/>
    </xf>
    <xf numFmtId="0" fontId="2" fillId="0" borderId="0" xfId="0" applyFont="1" applyAlignment="1">
      <alignment horizontal="center" vertical="center" wrapText="1"/>
    </xf>
    <xf numFmtId="0" fontId="7" fillId="0" borderId="0" xfId="0" applyFont="1"/>
    <xf numFmtId="0" fontId="0" fillId="0" borderId="0" xfId="0" applyAlignment="1">
      <alignment wrapText="1"/>
    </xf>
    <xf numFmtId="0" fontId="7" fillId="0" borderId="19" xfId="0" applyFont="1" applyBorder="1" applyAlignment="1">
      <alignment horizontal="center"/>
    </xf>
    <xf numFmtId="0" fontId="49" fillId="0" borderId="19" xfId="0" applyFont="1" applyBorder="1" applyAlignment="1">
      <alignment horizontal="center"/>
    </xf>
    <xf numFmtId="0" fontId="7" fillId="0" borderId="0" xfId="0" applyFont="1" applyAlignment="1">
      <alignment wrapText="1"/>
    </xf>
    <xf numFmtId="0" fontId="49" fillId="0" borderId="19" xfId="0" applyFont="1" applyBorder="1" applyAlignment="1">
      <alignment horizontal="center" vertical="center" wrapText="1"/>
    </xf>
    <xf numFmtId="0" fontId="4" fillId="0" borderId="19" xfId="0" applyFont="1" applyBorder="1" applyAlignment="1">
      <alignment horizontal="center" vertical="center" wrapText="1"/>
    </xf>
    <xf numFmtId="0" fontId="53" fillId="15" borderId="19" xfId="0" applyFont="1" applyFill="1" applyBorder="1" applyAlignment="1">
      <alignment horizontal="center" vertical="center" wrapText="1"/>
    </xf>
    <xf numFmtId="0" fontId="7" fillId="0" borderId="19" xfId="0" applyFont="1" applyBorder="1" applyAlignment="1">
      <alignment horizontal="center" vertical="center"/>
    </xf>
    <xf numFmtId="0" fontId="7" fillId="0" borderId="19" xfId="0" applyFont="1" applyBorder="1" applyAlignment="1">
      <alignment horizontal="center" wrapText="1"/>
    </xf>
    <xf numFmtId="0" fontId="7" fillId="0" borderId="19" xfId="0" applyFont="1" applyBorder="1" applyAlignment="1">
      <alignment horizontal="center" vertical="center" wrapText="1"/>
    </xf>
    <xf numFmtId="0" fontId="61" fillId="15" borderId="19" xfId="0" applyFont="1" applyFill="1" applyBorder="1" applyAlignment="1">
      <alignment horizontal="center" vertical="center" wrapText="1"/>
    </xf>
    <xf numFmtId="0" fontId="59" fillId="15" borderId="19" xfId="0" applyFont="1" applyFill="1" applyBorder="1" applyAlignment="1">
      <alignment horizontal="center" vertical="center"/>
    </xf>
    <xf numFmtId="0" fontId="59" fillId="15" borderId="19" xfId="0" applyFont="1" applyFill="1" applyBorder="1" applyAlignment="1">
      <alignment horizontal="center" vertical="center" wrapText="1"/>
    </xf>
    <xf numFmtId="0" fontId="61" fillId="16" borderId="19" xfId="0" applyFont="1" applyFill="1" applyBorder="1" applyAlignment="1">
      <alignment horizontal="center" vertical="center" wrapText="1"/>
    </xf>
    <xf numFmtId="0" fontId="0" fillId="0" borderId="19" xfId="0" applyBorder="1"/>
    <xf numFmtId="0" fontId="0" fillId="0" borderId="0" xfId="0" applyAlignment="1">
      <alignment horizontal="center"/>
    </xf>
    <xf numFmtId="0" fontId="47" fillId="2" borderId="0" xfId="2" applyFill="1" applyAlignment="1">
      <alignment horizontal="left" vertical="center" wrapText="1"/>
    </xf>
    <xf numFmtId="0" fontId="47" fillId="2" borderId="0" xfId="2" applyFill="1"/>
    <xf numFmtId="0" fontId="2" fillId="0" borderId="0" xfId="0" applyFont="1" applyAlignment="1">
      <alignment horizontal="justify" vertical="center" wrapText="1"/>
    </xf>
    <xf numFmtId="0" fontId="0" fillId="0" borderId="0" xfId="0" applyAlignment="1">
      <alignment horizontal="center" vertical="center"/>
    </xf>
    <xf numFmtId="0" fontId="64" fillId="2" borderId="0" xfId="2" applyFont="1" applyFill="1" applyAlignment="1">
      <alignment vertical="center"/>
    </xf>
    <xf numFmtId="0" fontId="17" fillId="0" borderId="0" xfId="0" applyFont="1" applyAlignment="1">
      <alignment vertical="center"/>
    </xf>
    <xf numFmtId="0" fontId="0" fillId="0" borderId="19" xfId="0" applyBorder="1" applyAlignment="1">
      <alignment horizontal="center" vertical="center"/>
    </xf>
    <xf numFmtId="0" fontId="70" fillId="0" borderId="19" xfId="0" applyFont="1" applyBorder="1" applyAlignment="1">
      <alignment horizontal="center" vertical="center"/>
    </xf>
    <xf numFmtId="0" fontId="0" fillId="14" borderId="19" xfId="0" applyFill="1" applyBorder="1" applyAlignment="1">
      <alignment horizontal="center" vertical="center"/>
    </xf>
    <xf numFmtId="0" fontId="0" fillId="0" borderId="19" xfId="0" applyBorder="1" applyAlignment="1">
      <alignment horizontal="center" vertical="center" wrapText="1"/>
    </xf>
    <xf numFmtId="9" fontId="0" fillId="0" borderId="19" xfId="0" applyNumberFormat="1" applyBorder="1" applyAlignment="1">
      <alignment horizontal="center" vertical="center"/>
    </xf>
    <xf numFmtId="9" fontId="0" fillId="0" borderId="19" xfId="0" applyNumberFormat="1" applyBorder="1" applyAlignment="1">
      <alignment horizontal="center" vertical="center" wrapText="1"/>
    </xf>
    <xf numFmtId="0" fontId="14" fillId="8" borderId="19" xfId="0" applyFont="1" applyFill="1" applyBorder="1" applyAlignment="1">
      <alignment horizontal="center" vertical="center" wrapText="1"/>
    </xf>
    <xf numFmtId="0" fontId="14" fillId="0" borderId="19" xfId="0" applyFont="1" applyBorder="1" applyAlignment="1">
      <alignment horizontal="center" vertical="center"/>
    </xf>
    <xf numFmtId="0" fontId="0" fillId="22" borderId="19" xfId="0" applyFill="1" applyBorder="1" applyAlignment="1">
      <alignment horizontal="center" vertical="center"/>
    </xf>
    <xf numFmtId="9" fontId="0" fillId="8" borderId="19" xfId="0" applyNumberFormat="1" applyFill="1" applyBorder="1" applyAlignment="1">
      <alignment horizontal="center" vertical="center"/>
    </xf>
    <xf numFmtId="0" fontId="0" fillId="8" borderId="0" xfId="0" applyFill="1" applyAlignment="1">
      <alignment horizontal="center" vertical="center"/>
    </xf>
    <xf numFmtId="0" fontId="0" fillId="13" borderId="19" xfId="0" applyFill="1" applyBorder="1" applyAlignment="1">
      <alignment horizontal="center" vertical="center"/>
    </xf>
    <xf numFmtId="0" fontId="0" fillId="7" borderId="19" xfId="0" applyFill="1" applyBorder="1" applyAlignment="1">
      <alignment horizontal="center" vertical="center"/>
    </xf>
    <xf numFmtId="9" fontId="0" fillId="3" borderId="19" xfId="0" applyNumberFormat="1" applyFill="1" applyBorder="1" applyAlignment="1">
      <alignment horizontal="center" vertical="center"/>
    </xf>
    <xf numFmtId="0" fontId="0" fillId="22" borderId="0" xfId="0" applyFill="1" applyAlignment="1">
      <alignment horizontal="center" vertical="center"/>
    </xf>
    <xf numFmtId="0" fontId="0" fillId="3" borderId="19" xfId="0" applyFill="1" applyBorder="1" applyAlignment="1">
      <alignment horizontal="center" vertical="center"/>
    </xf>
    <xf numFmtId="0" fontId="0" fillId="3" borderId="0" xfId="0" applyFill="1" applyAlignment="1">
      <alignment horizontal="center" vertical="center"/>
    </xf>
    <xf numFmtId="9" fontId="0" fillId="14" borderId="19" xfId="0" applyNumberFormat="1" applyFill="1" applyBorder="1" applyAlignment="1">
      <alignment horizontal="center" vertical="center"/>
    </xf>
    <xf numFmtId="0" fontId="0" fillId="14" borderId="0" xfId="0" applyFill="1" applyAlignment="1">
      <alignment horizontal="center" vertical="center"/>
    </xf>
    <xf numFmtId="0" fontId="14" fillId="8" borderId="19" xfId="0" applyFont="1" applyFill="1" applyBorder="1" applyAlignment="1">
      <alignment horizontal="center" vertical="center"/>
    </xf>
    <xf numFmtId="0" fontId="0" fillId="14" borderId="19" xfId="0" applyFill="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wrapText="1"/>
    </xf>
    <xf numFmtId="9" fontId="0" fillId="0" borderId="0" xfId="0" applyNumberFormat="1" applyAlignment="1">
      <alignment horizontal="center" vertical="center"/>
    </xf>
    <xf numFmtId="9" fontId="0" fillId="0" borderId="0" xfId="0" applyNumberFormat="1" applyAlignment="1">
      <alignment horizontal="center" vertical="center" wrapText="1"/>
    </xf>
    <xf numFmtId="0" fontId="70" fillId="0" borderId="19" xfId="0" applyFont="1" applyBorder="1" applyAlignment="1">
      <alignment horizontal="center"/>
    </xf>
    <xf numFmtId="0" fontId="0" fillId="0" borderId="19" xfId="0" applyBorder="1" applyAlignment="1">
      <alignment horizontal="center"/>
    </xf>
    <xf numFmtId="9" fontId="0" fillId="0" borderId="19" xfId="0" applyNumberFormat="1" applyBorder="1" applyAlignment="1">
      <alignment horizontal="center"/>
    </xf>
    <xf numFmtId="0" fontId="0" fillId="23" borderId="19" xfId="0" applyFill="1" applyBorder="1"/>
    <xf numFmtId="0" fontId="73" fillId="0" borderId="0" xfId="0" applyFont="1" applyAlignment="1">
      <alignment vertical="center"/>
    </xf>
    <xf numFmtId="0" fontId="74" fillId="0" borderId="0" xfId="0" applyFont="1" applyAlignment="1">
      <alignment vertical="center"/>
    </xf>
    <xf numFmtId="0" fontId="0" fillId="0" borderId="19" xfId="0" applyBorder="1" applyAlignment="1">
      <alignment vertical="center" wrapText="1"/>
    </xf>
    <xf numFmtId="0" fontId="76" fillId="0" borderId="0" xfId="7" applyFont="1" applyAlignment="1">
      <alignment horizontal="center" vertical="center" wrapText="1"/>
    </xf>
    <xf numFmtId="0" fontId="77" fillId="24" borderId="65" xfId="0" applyFont="1" applyFill="1" applyBorder="1" applyAlignment="1">
      <alignment vertical="center" wrapText="1"/>
    </xf>
    <xf numFmtId="0" fontId="67" fillId="21" borderId="65" xfId="0" applyFont="1" applyFill="1" applyBorder="1" applyAlignment="1">
      <alignment horizontal="center" vertical="center" wrapText="1"/>
    </xf>
    <xf numFmtId="0" fontId="16" fillId="12" borderId="86" xfId="0" applyFont="1" applyFill="1" applyBorder="1" applyAlignment="1">
      <alignment horizontal="left" vertical="center" wrapText="1"/>
    </xf>
    <xf numFmtId="0" fontId="78" fillId="0" borderId="0" xfId="0" applyFont="1"/>
    <xf numFmtId="0" fontId="0" fillId="12" borderId="0" xfId="0" applyFill="1"/>
    <xf numFmtId="0" fontId="16" fillId="12" borderId="87" xfId="0" applyFont="1" applyFill="1" applyBorder="1" applyAlignment="1">
      <alignment horizontal="left" vertical="center" wrapText="1"/>
    </xf>
    <xf numFmtId="0" fontId="16" fillId="12" borderId="87" xfId="0" applyFont="1" applyFill="1" applyBorder="1"/>
    <xf numFmtId="0" fontId="79" fillId="0" borderId="87" xfId="0" applyFont="1" applyBorder="1" applyAlignment="1">
      <alignment horizontal="left" vertical="center"/>
    </xf>
    <xf numFmtId="0" fontId="79" fillId="0" borderId="88" xfId="0" applyFont="1" applyBorder="1" applyAlignment="1">
      <alignment horizontal="left" vertical="center"/>
    </xf>
    <xf numFmtId="0" fontId="16" fillId="0" borderId="87" xfId="0" applyFont="1" applyBorder="1" applyAlignment="1">
      <alignment horizontal="left" vertical="center" wrapText="1"/>
    </xf>
    <xf numFmtId="0" fontId="65" fillId="2" borderId="0" xfId="2" applyFont="1" applyFill="1" applyAlignment="1">
      <alignment vertical="center"/>
    </xf>
    <xf numFmtId="0" fontId="63" fillId="20" borderId="64" xfId="0" applyFont="1" applyFill="1" applyBorder="1" applyAlignment="1">
      <alignment horizontal="center" vertical="center" wrapText="1"/>
    </xf>
    <xf numFmtId="0" fontId="63" fillId="20" borderId="8" xfId="0" applyFont="1" applyFill="1" applyBorder="1" applyAlignment="1">
      <alignment horizontal="center" vertical="center"/>
    </xf>
    <xf numFmtId="0" fontId="68" fillId="0" borderId="64" xfId="0" applyFont="1" applyBorder="1" applyAlignment="1">
      <alignment horizontal="center" vertical="center" wrapText="1"/>
    </xf>
    <xf numFmtId="0" fontId="68" fillId="0" borderId="8" xfId="0" applyFont="1" applyBorder="1" applyAlignment="1">
      <alignment vertical="center"/>
    </xf>
    <xf numFmtId="0" fontId="68" fillId="0" borderId="0" xfId="0" applyFont="1"/>
    <xf numFmtId="0" fontId="63" fillId="20" borderId="19" xfId="0" applyFont="1" applyFill="1" applyBorder="1" applyAlignment="1">
      <alignment horizontal="center" vertical="center"/>
    </xf>
    <xf numFmtId="0" fontId="68" fillId="0" borderId="19" xfId="0" applyFont="1" applyBorder="1" applyAlignment="1">
      <alignment horizontal="center" vertical="center"/>
    </xf>
    <xf numFmtId="0" fontId="68" fillId="0" borderId="19" xfId="0" applyFont="1" applyBorder="1" applyAlignment="1">
      <alignment horizontal="justify" vertical="center" wrapText="1"/>
    </xf>
    <xf numFmtId="0" fontId="64" fillId="2" borderId="19" xfId="2" applyFont="1" applyFill="1" applyBorder="1" applyAlignment="1">
      <alignment horizontal="center" vertical="center"/>
    </xf>
    <xf numFmtId="0" fontId="15" fillId="2" borderId="0" xfId="0" applyFont="1" applyFill="1"/>
    <xf numFmtId="0" fontId="3" fillId="2" borderId="5" xfId="2" applyFont="1" applyFill="1" applyBorder="1"/>
    <xf numFmtId="0" fontId="3" fillId="2" borderId="0" xfId="2" applyFont="1" applyFill="1"/>
    <xf numFmtId="0" fontId="52" fillId="2" borderId="0" xfId="2" applyFont="1" applyFill="1" applyAlignment="1">
      <alignment horizontal="left" vertical="center" wrapText="1"/>
    </xf>
    <xf numFmtId="0" fontId="3" fillId="2" borderId="0" xfId="2" applyFont="1" applyFill="1" applyAlignment="1">
      <alignment horizontal="left" vertical="center" wrapText="1"/>
    </xf>
    <xf numFmtId="0" fontId="3" fillId="2" borderId="0" xfId="2" quotePrefix="1" applyFont="1" applyFill="1" applyAlignment="1">
      <alignment horizontal="left" vertical="center" wrapText="1"/>
    </xf>
    <xf numFmtId="0" fontId="3" fillId="2" borderId="6" xfId="2" applyFont="1" applyFill="1" applyBorder="1"/>
    <xf numFmtId="0" fontId="52" fillId="2" borderId="0" xfId="0" applyFont="1" applyFill="1" applyAlignment="1">
      <alignment horizontal="left" vertical="center" wrapText="1"/>
    </xf>
    <xf numFmtId="0" fontId="3" fillId="2" borderId="0" xfId="0" applyFont="1" applyFill="1" applyAlignment="1">
      <alignment horizontal="left" vertical="top" wrapText="1"/>
    </xf>
    <xf numFmtId="0" fontId="3" fillId="2" borderId="7" xfId="2" applyFont="1" applyFill="1" applyBorder="1"/>
    <xf numFmtId="0" fontId="3" fillId="2" borderId="9" xfId="2" applyFont="1" applyFill="1" applyBorder="1"/>
    <xf numFmtId="0" fontId="3" fillId="2" borderId="8" xfId="2" applyFont="1" applyFill="1" applyBorder="1"/>
    <xf numFmtId="0" fontId="65" fillId="2" borderId="96" xfId="2" applyFont="1" applyFill="1" applyBorder="1" applyAlignment="1">
      <alignment vertical="center"/>
    </xf>
    <xf numFmtId="0" fontId="65" fillId="2" borderId="95" xfId="2" applyFont="1" applyFill="1" applyBorder="1" applyAlignment="1">
      <alignment vertical="center"/>
    </xf>
    <xf numFmtId="0" fontId="68"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center"/>
      <protection hidden="1"/>
    </xf>
    <xf numFmtId="164" fontId="68" fillId="0" borderId="19" xfId="1" applyNumberFormat="1" applyFont="1" applyBorder="1" applyAlignment="1">
      <alignment horizontal="center" vertical="center"/>
    </xf>
    <xf numFmtId="0" fontId="63" fillId="0" borderId="19" xfId="0" applyFont="1" applyBorder="1" applyAlignment="1" applyProtection="1">
      <alignment horizontal="center" vertical="center" textRotation="90" wrapText="1"/>
      <protection hidden="1"/>
    </xf>
    <xf numFmtId="0" fontId="68" fillId="0" borderId="19" xfId="0" applyFont="1" applyBorder="1" applyAlignment="1">
      <alignment vertical="center" wrapText="1"/>
    </xf>
    <xf numFmtId="14" fontId="68" fillId="0" borderId="19" xfId="0" applyNumberFormat="1" applyFont="1" applyBorder="1" applyAlignment="1" applyProtection="1">
      <alignment horizontal="center" vertical="center"/>
      <protection locked="0"/>
    </xf>
    <xf numFmtId="0" fontId="65" fillId="2" borderId="23" xfId="2" applyFont="1" applyFill="1" applyBorder="1"/>
    <xf numFmtId="0" fontId="65" fillId="2" borderId="19" xfId="2" applyFont="1" applyFill="1" applyBorder="1"/>
    <xf numFmtId="0" fontId="65" fillId="2" borderId="24" xfId="2" applyFont="1" applyFill="1" applyBorder="1"/>
    <xf numFmtId="0" fontId="64" fillId="2" borderId="19" xfId="2" applyFont="1" applyFill="1" applyBorder="1" applyAlignment="1">
      <alignment horizontal="center" vertical="center" wrapText="1"/>
    </xf>
    <xf numFmtId="0" fontId="63" fillId="0" borderId="19" xfId="0" applyFont="1" applyBorder="1" applyAlignment="1">
      <alignment horizontal="center" vertical="center" wrapText="1"/>
    </xf>
    <xf numFmtId="0" fontId="65" fillId="2" borderId="19" xfId="2" applyFont="1" applyFill="1" applyBorder="1" applyAlignment="1">
      <alignment horizontal="left" vertical="center" wrapText="1"/>
    </xf>
    <xf numFmtId="0" fontId="65" fillId="2" borderId="5" xfId="2" applyFont="1" applyFill="1" applyBorder="1"/>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19" xfId="0" applyFont="1" applyFill="1" applyBorder="1" applyAlignment="1">
      <alignment vertical="center" wrapText="1"/>
    </xf>
    <xf numFmtId="0" fontId="0" fillId="0" borderId="9" xfId="0" applyBorder="1" applyAlignment="1">
      <alignment horizontal="center"/>
    </xf>
    <xf numFmtId="0" fontId="68" fillId="0" borderId="19" xfId="0" applyFont="1" applyBorder="1" applyAlignment="1" applyProtection="1">
      <alignment horizontal="center" vertical="center" textRotation="90"/>
      <protection locked="0"/>
    </xf>
    <xf numFmtId="0" fontId="59" fillId="15" borderId="75" xfId="0" applyFont="1" applyFill="1" applyBorder="1" applyAlignment="1">
      <alignment horizontal="center" vertical="center"/>
    </xf>
    <xf numFmtId="0" fontId="82" fillId="0" borderId="19" xfId="0" applyFont="1" applyBorder="1" applyAlignment="1">
      <alignment vertical="center" wrapText="1"/>
    </xf>
    <xf numFmtId="0" fontId="4" fillId="2" borderId="19" xfId="0" applyFont="1" applyFill="1" applyBorder="1" applyAlignment="1">
      <alignment horizontal="center" vertical="center" wrapText="1"/>
    </xf>
    <xf numFmtId="0" fontId="4" fillId="0" borderId="0" xfId="0" applyFont="1" applyAlignment="1">
      <alignment horizontal="justify" vertical="center"/>
    </xf>
    <xf numFmtId="0" fontId="7" fillId="0" borderId="0" xfId="0" applyFont="1" applyAlignment="1">
      <alignment horizontal="justify" vertical="center"/>
    </xf>
    <xf numFmtId="0" fontId="85" fillId="0" borderId="0" xfId="0" applyFont="1" applyAlignment="1">
      <alignment horizontal="justify" vertical="center"/>
    </xf>
    <xf numFmtId="0" fontId="59" fillId="0" borderId="0" xfId="0" applyFont="1" applyAlignment="1">
      <alignment horizontal="justify" vertical="center"/>
    </xf>
    <xf numFmtId="0" fontId="35" fillId="0" borderId="0" xfId="0" applyFont="1" applyAlignment="1">
      <alignment horizontal="justify" vertical="center"/>
    </xf>
    <xf numFmtId="0" fontId="38" fillId="0" borderId="0" xfId="0" applyFont="1" applyAlignment="1">
      <alignment horizontal="justify" vertical="center"/>
    </xf>
    <xf numFmtId="0" fontId="86" fillId="0" borderId="0" xfId="0" applyFont="1" applyAlignment="1">
      <alignment horizontal="justify" vertical="center"/>
    </xf>
    <xf numFmtId="0" fontId="4" fillId="0" borderId="0" xfId="0" applyFont="1" applyAlignment="1">
      <alignment vertical="center" wrapText="1"/>
    </xf>
    <xf numFmtId="0" fontId="85" fillId="0" borderId="0" xfId="0" applyFont="1" applyAlignment="1">
      <alignment vertical="center" wrapText="1"/>
    </xf>
    <xf numFmtId="0" fontId="68" fillId="18"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locked="0"/>
    </xf>
    <xf numFmtId="14" fontId="68" fillId="18" borderId="19" xfId="0" applyNumberFormat="1" applyFont="1" applyFill="1" applyBorder="1" applyAlignment="1" applyProtection="1">
      <alignment horizontal="center" vertical="center"/>
      <protection locked="0"/>
    </xf>
    <xf numFmtId="0" fontId="68" fillId="2" borderId="19" xfId="0" applyFont="1" applyFill="1" applyBorder="1" applyAlignment="1">
      <alignment horizontal="center" vertical="center" wrapText="1"/>
    </xf>
    <xf numFmtId="0" fontId="68" fillId="2" borderId="19" xfId="0" applyFont="1" applyFill="1" applyBorder="1" applyAlignment="1">
      <alignment horizontal="center" vertical="center"/>
    </xf>
    <xf numFmtId="0" fontId="68" fillId="2" borderId="19" xfId="0" applyFont="1" applyFill="1" applyBorder="1" applyAlignment="1" applyProtection="1">
      <alignment horizontal="center" vertical="center"/>
      <protection locked="0"/>
    </xf>
    <xf numFmtId="0" fontId="68" fillId="18" borderId="19" xfId="0" applyFont="1" applyFill="1" applyBorder="1" applyAlignment="1" applyProtection="1">
      <alignment horizontal="justify" vertical="center" wrapText="1"/>
      <protection locked="0"/>
    </xf>
    <xf numFmtId="14" fontId="68" fillId="0" borderId="19" xfId="0" applyNumberFormat="1" applyFont="1" applyBorder="1" applyAlignment="1" applyProtection="1">
      <alignment horizontal="center" vertical="center" wrapText="1"/>
      <protection locked="0"/>
    </xf>
    <xf numFmtId="14" fontId="68" fillId="18" borderId="19" xfId="0" applyNumberFormat="1" applyFont="1" applyFill="1" applyBorder="1" applyAlignment="1" applyProtection="1">
      <alignment horizontal="center" vertical="center" wrapText="1"/>
      <protection locked="0"/>
    </xf>
    <xf numFmtId="0" fontId="68" fillId="18" borderId="19" xfId="0" applyFont="1" applyFill="1" applyBorder="1" applyAlignment="1" applyProtection="1">
      <alignment horizontal="left" vertical="center" wrapText="1"/>
      <protection locked="0"/>
    </xf>
    <xf numFmtId="0" fontId="1" fillId="0" borderId="0" xfId="0" applyFont="1" applyAlignment="1">
      <alignment horizontal="center" vertical="center" wrapText="1"/>
    </xf>
    <xf numFmtId="0" fontId="1" fillId="0" borderId="0" xfId="0" applyFont="1" applyAlignment="1">
      <alignment horizontal="center" vertical="center"/>
    </xf>
    <xf numFmtId="0" fontId="63" fillId="2"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protection locked="0"/>
    </xf>
    <xf numFmtId="9" fontId="68" fillId="0" borderId="19" xfId="0" applyNumberFormat="1" applyFont="1" applyBorder="1" applyAlignment="1" applyProtection="1">
      <alignment horizontal="center" vertical="center" wrapText="1"/>
      <protection hidden="1"/>
    </xf>
    <xf numFmtId="0" fontId="63" fillId="0" borderId="0" xfId="0" applyFont="1" applyAlignment="1">
      <alignment horizontal="center" vertical="center"/>
    </xf>
    <xf numFmtId="0" fontId="63" fillId="2" borderId="0" xfId="0" applyFont="1" applyFill="1" applyAlignment="1">
      <alignment horizontal="center" vertical="center"/>
    </xf>
    <xf numFmtId="0" fontId="89" fillId="0" borderId="0" xfId="0" applyFont="1"/>
    <xf numFmtId="0" fontId="89" fillId="18" borderId="0" xfId="0" applyFont="1" applyFill="1"/>
    <xf numFmtId="0" fontId="89" fillId="0" borderId="0" xfId="0" applyFont="1" applyAlignment="1">
      <alignment vertical="center" wrapText="1"/>
    </xf>
    <xf numFmtId="0" fontId="89" fillId="0" borderId="0" xfId="0" applyFont="1" applyAlignment="1">
      <alignment horizontal="center" vertical="center"/>
    </xf>
    <xf numFmtId="0" fontId="68" fillId="0" borderId="0" xfId="0" applyFont="1" applyAlignment="1">
      <alignment horizontal="center" vertical="center" wrapText="1"/>
    </xf>
    <xf numFmtId="0" fontId="68" fillId="0" borderId="0" xfId="0" applyFont="1" applyAlignment="1">
      <alignment horizontal="center" vertical="center"/>
    </xf>
    <xf numFmtId="0" fontId="68" fillId="0" borderId="0" xfId="0" applyFont="1" applyAlignment="1">
      <alignment vertical="center"/>
    </xf>
    <xf numFmtId="0" fontId="68" fillId="0" borderId="0" xfId="0" applyFont="1" applyAlignment="1">
      <alignment horizontal="center"/>
    </xf>
    <xf numFmtId="0" fontId="68" fillId="2" borderId="19" xfId="0" applyFont="1" applyFill="1" applyBorder="1" applyAlignment="1" applyProtection="1">
      <alignment horizontal="center" vertical="center" textRotation="90"/>
      <protection locked="0"/>
    </xf>
    <xf numFmtId="9" fontId="68" fillId="2" borderId="19" xfId="0" applyNumberFormat="1" applyFont="1" applyFill="1" applyBorder="1" applyAlignment="1" applyProtection="1">
      <alignment horizontal="center" vertical="center"/>
      <protection hidden="1"/>
    </xf>
    <xf numFmtId="164" fontId="68" fillId="2" borderId="19" xfId="1" applyNumberFormat="1" applyFont="1" applyFill="1" applyBorder="1" applyAlignment="1">
      <alignment horizontal="center" vertical="center"/>
    </xf>
    <xf numFmtId="0" fontId="63" fillId="2" borderId="19" xfId="0" applyFont="1" applyFill="1" applyBorder="1" applyAlignment="1" applyProtection="1">
      <alignment horizontal="center" vertical="center" textRotation="90" wrapText="1"/>
      <protection hidden="1"/>
    </xf>
    <xf numFmtId="9" fontId="68" fillId="2" borderId="19" xfId="0" applyNumberFormat="1" applyFont="1" applyFill="1" applyBorder="1" applyAlignment="1" applyProtection="1">
      <alignment horizontal="center" vertical="center" wrapText="1"/>
      <protection hidden="1"/>
    </xf>
    <xf numFmtId="0" fontId="63" fillId="2" borderId="19" xfId="0" applyFont="1" applyFill="1" applyBorder="1" applyAlignment="1" applyProtection="1">
      <alignment horizontal="center" vertical="center" textRotation="90"/>
      <protection hidden="1"/>
    </xf>
    <xf numFmtId="9" fontId="68" fillId="2" borderId="19" xfId="1" applyFont="1" applyFill="1" applyBorder="1" applyAlignment="1">
      <alignment horizontal="center" vertical="center"/>
    </xf>
    <xf numFmtId="0" fontId="89" fillId="2" borderId="19" xfId="0" applyFont="1" applyFill="1" applyBorder="1" applyAlignment="1">
      <alignment horizontal="center" vertical="center"/>
    </xf>
    <xf numFmtId="9" fontId="68" fillId="2" borderId="20" xfId="0" applyNumberFormat="1" applyFont="1" applyFill="1" applyBorder="1" applyAlignment="1" applyProtection="1">
      <alignment horizontal="center" vertical="center" wrapText="1"/>
      <protection hidden="1"/>
    </xf>
    <xf numFmtId="0" fontId="68" fillId="0" borderId="20" xfId="0" applyFont="1" applyBorder="1" applyAlignment="1" applyProtection="1">
      <alignment horizontal="justify" vertical="center" wrapText="1"/>
      <protection locked="0"/>
    </xf>
    <xf numFmtId="0" fontId="65" fillId="2" borderId="19" xfId="0" applyFont="1" applyFill="1" applyBorder="1" applyAlignment="1" applyProtection="1">
      <alignment horizontal="center" vertical="center"/>
      <protection hidden="1"/>
    </xf>
    <xf numFmtId="0" fontId="65" fillId="2" borderId="19" xfId="0" applyFont="1" applyFill="1" applyBorder="1" applyAlignment="1" applyProtection="1">
      <alignment horizontal="center" vertical="center" wrapText="1"/>
      <protection locked="0"/>
    </xf>
    <xf numFmtId="0" fontId="65" fillId="2" borderId="19" xfId="0" applyFont="1" applyFill="1" applyBorder="1" applyAlignment="1" applyProtection="1">
      <alignment horizontal="center" vertical="center"/>
      <protection locked="0"/>
    </xf>
    <xf numFmtId="0" fontId="87" fillId="18" borderId="19" xfId="0" applyFont="1" applyFill="1" applyBorder="1" applyAlignment="1" applyProtection="1">
      <alignment horizontal="justify" vertical="center" wrapText="1"/>
      <protection locked="0"/>
    </xf>
    <xf numFmtId="0" fontId="87" fillId="18" borderId="19" xfId="0" applyFont="1" applyFill="1" applyBorder="1" applyAlignment="1" applyProtection="1">
      <alignment horizontal="center" vertical="center" wrapText="1"/>
      <protection locked="0"/>
    </xf>
    <xf numFmtId="14" fontId="87" fillId="18" borderId="19" xfId="0" applyNumberFormat="1" applyFont="1" applyFill="1" applyBorder="1" applyAlignment="1" applyProtection="1">
      <alignment horizontal="center" vertical="center" wrapText="1"/>
      <protection locked="0"/>
    </xf>
    <xf numFmtId="0" fontId="87" fillId="18" borderId="19" xfId="0" applyFont="1" applyFill="1" applyBorder="1" applyAlignment="1" applyProtection="1">
      <alignment horizontal="left" vertical="center" wrapText="1"/>
      <protection locked="0"/>
    </xf>
    <xf numFmtId="0" fontId="96" fillId="0" borderId="0" xfId="0" applyFont="1"/>
    <xf numFmtId="0" fontId="96" fillId="18" borderId="0" xfId="0" applyFont="1" applyFill="1"/>
    <xf numFmtId="0" fontId="65" fillId="2" borderId="19" xfId="0" applyFont="1" applyFill="1" applyBorder="1" applyAlignment="1" applyProtection="1">
      <alignment horizontal="center" vertical="center" textRotation="90"/>
      <protection locked="0"/>
    </xf>
    <xf numFmtId="9" fontId="65" fillId="2" borderId="19" xfId="0" applyNumberFormat="1" applyFont="1" applyFill="1" applyBorder="1" applyAlignment="1" applyProtection="1">
      <alignment horizontal="center" vertical="center"/>
      <protection hidden="1"/>
    </xf>
    <xf numFmtId="0" fontId="63" fillId="0" borderId="19" xfId="0" applyFont="1" applyBorder="1" applyAlignment="1" applyProtection="1">
      <alignment horizontal="center" vertical="center"/>
      <protection hidden="1"/>
    </xf>
    <xf numFmtId="0" fontId="63" fillId="0" borderId="19" xfId="0" applyFont="1" applyBorder="1" applyAlignment="1">
      <alignment horizontal="center" vertical="center"/>
    </xf>
    <xf numFmtId="0" fontId="90" fillId="0" borderId="19" xfId="0" applyFont="1" applyBorder="1" applyAlignment="1">
      <alignment horizontal="center" vertical="center"/>
    </xf>
    <xf numFmtId="0" fontId="65" fillId="0" borderId="19" xfId="0" applyFont="1" applyBorder="1" applyAlignment="1" applyProtection="1">
      <alignment horizontal="center" vertical="center" wrapText="1"/>
      <protection locked="0"/>
    </xf>
    <xf numFmtId="0" fontId="63" fillId="0" borderId="19" xfId="0"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locked="0"/>
    </xf>
    <xf numFmtId="0" fontId="95" fillId="0" borderId="19" xfId="0" applyFont="1" applyBorder="1" applyAlignment="1">
      <alignment horizontal="center" vertical="center"/>
    </xf>
    <xf numFmtId="0" fontId="91" fillId="0" borderId="19" xfId="0" applyFont="1" applyBorder="1" applyAlignment="1">
      <alignment horizontal="center" vertical="center"/>
    </xf>
    <xf numFmtId="0" fontId="68" fillId="0" borderId="19" xfId="0" applyFont="1" applyBorder="1" applyAlignment="1" applyProtection="1">
      <alignment horizontal="center" vertical="center" wrapText="1"/>
      <protection hidden="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68" fillId="0" borderId="20" xfId="0" applyFont="1" applyBorder="1" applyAlignment="1" applyProtection="1">
      <alignment horizontal="center" vertical="center" wrapText="1"/>
      <protection locked="0"/>
    </xf>
    <xf numFmtId="9" fontId="68" fillId="0" borderId="75" xfId="0" applyNumberFormat="1" applyFont="1" applyBorder="1" applyAlignment="1" applyProtection="1">
      <alignment horizontal="center" vertical="center" wrapText="1"/>
      <protection locked="0"/>
    </xf>
    <xf numFmtId="0" fontId="63" fillId="0" borderId="75" xfId="0" applyFont="1" applyBorder="1" applyAlignment="1" applyProtection="1">
      <alignment horizontal="center" vertical="center" wrapText="1"/>
      <protection hidden="1"/>
    </xf>
    <xf numFmtId="0" fontId="63" fillId="0" borderId="75" xfId="0" applyFont="1" applyBorder="1" applyAlignment="1" applyProtection="1">
      <alignment horizontal="center" vertical="center"/>
      <protection hidden="1"/>
    </xf>
    <xf numFmtId="0" fontId="68" fillId="0" borderId="75" xfId="0" applyFont="1" applyBorder="1" applyAlignment="1" applyProtection="1">
      <alignment horizontal="center" vertical="center" wrapText="1"/>
      <protection locked="0"/>
    </xf>
    <xf numFmtId="0" fontId="68" fillId="0" borderId="75" xfId="0" applyFont="1" applyBorder="1" applyAlignment="1" applyProtection="1">
      <alignment horizontal="left" vertical="center" wrapText="1"/>
      <protection locked="0"/>
    </xf>
    <xf numFmtId="0" fontId="63" fillId="0" borderId="75" xfId="0" applyFont="1" applyBorder="1" applyAlignment="1">
      <alignment horizontal="center" vertical="center" wrapText="1"/>
    </xf>
    <xf numFmtId="0" fontId="90" fillId="0" borderId="75" xfId="0" applyFont="1" applyBorder="1" applyAlignment="1">
      <alignment horizontal="center" vertical="center"/>
    </xf>
    <xf numFmtId="0" fontId="63" fillId="0" borderId="75" xfId="0" applyFont="1" applyBorder="1" applyAlignment="1">
      <alignment horizontal="center" vertical="center"/>
    </xf>
    <xf numFmtId="9" fontId="68" fillId="0" borderId="75" xfId="0" applyNumberFormat="1" applyFont="1" applyBorder="1" applyAlignment="1" applyProtection="1">
      <alignment horizontal="center" vertical="center" wrapText="1"/>
      <protection hidden="1"/>
    </xf>
    <xf numFmtId="0" fontId="68" fillId="0" borderId="75" xfId="0" applyFont="1" applyBorder="1" applyAlignment="1" applyProtection="1">
      <alignment horizontal="center" vertical="center"/>
      <protection locked="0"/>
    </xf>
    <xf numFmtId="0" fontId="68" fillId="18" borderId="19" xfId="0" applyFont="1" applyFill="1" applyBorder="1" applyAlignment="1">
      <alignment horizontal="center" vertical="center"/>
    </xf>
    <xf numFmtId="0" fontId="68" fillId="18" borderId="20" xfId="0" applyFont="1" applyFill="1" applyBorder="1" applyAlignment="1">
      <alignment horizontal="center" vertical="center"/>
    </xf>
    <xf numFmtId="0" fontId="68" fillId="2"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justify" vertical="center" wrapText="1"/>
      <protection locked="0"/>
    </xf>
    <xf numFmtId="0" fontId="68" fillId="2" borderId="19" xfId="0" applyFont="1" applyFill="1" applyBorder="1" applyAlignment="1" applyProtection="1">
      <alignment horizontal="center" vertical="center"/>
      <protection hidden="1"/>
    </xf>
    <xf numFmtId="0" fontId="68" fillId="2" borderId="20" xfId="0" applyFont="1" applyFill="1" applyBorder="1" applyAlignment="1">
      <alignment horizontal="center" vertical="center"/>
    </xf>
    <xf numFmtId="0" fontId="68" fillId="2" borderId="20" xfId="0" applyFont="1" applyFill="1" applyBorder="1" applyAlignment="1" applyProtection="1">
      <alignment horizontal="center" vertical="center" wrapText="1"/>
      <protection locked="0"/>
    </xf>
    <xf numFmtId="0" fontId="68" fillId="2" borderId="20" xfId="0" applyFont="1" applyFill="1" applyBorder="1" applyAlignment="1" applyProtection="1">
      <alignment horizontal="center" vertical="center"/>
      <protection hidden="1"/>
    </xf>
    <xf numFmtId="0" fontId="68" fillId="2" borderId="20" xfId="0" applyFont="1" applyFill="1" applyBorder="1" applyAlignment="1" applyProtection="1">
      <alignment horizontal="center" vertical="center" textRotation="90"/>
      <protection locked="0"/>
    </xf>
    <xf numFmtId="9" fontId="68" fillId="2" borderId="20" xfId="0" applyNumberFormat="1" applyFont="1" applyFill="1" applyBorder="1" applyAlignment="1" applyProtection="1">
      <alignment horizontal="center" vertical="center"/>
      <protection hidden="1"/>
    </xf>
    <xf numFmtId="164" fontId="68" fillId="2" borderId="20" xfId="1" applyNumberFormat="1" applyFont="1" applyFill="1" applyBorder="1" applyAlignment="1">
      <alignment horizontal="center" vertical="center"/>
    </xf>
    <xf numFmtId="0" fontId="63" fillId="2" borderId="20" xfId="0" applyFont="1" applyFill="1" applyBorder="1" applyAlignment="1" applyProtection="1">
      <alignment horizontal="center" vertical="center" textRotation="90" wrapText="1"/>
      <protection hidden="1"/>
    </xf>
    <xf numFmtId="0" fontId="63" fillId="2" borderId="20" xfId="0" applyFont="1" applyFill="1" applyBorder="1" applyAlignment="1" applyProtection="1">
      <alignment horizontal="center" vertical="center" textRotation="90"/>
      <protection hidden="1"/>
    </xf>
    <xf numFmtId="0" fontId="65" fillId="0" borderId="0" xfId="0" applyFont="1"/>
    <xf numFmtId="0" fontId="2" fillId="2" borderId="0" xfId="0" applyFont="1" applyFill="1" applyAlignment="1">
      <alignment vertical="center"/>
    </xf>
    <xf numFmtId="0" fontId="2" fillId="0" borderId="0" xfId="0" applyFont="1" applyAlignment="1">
      <alignment vertical="center"/>
    </xf>
    <xf numFmtId="0" fontId="1" fillId="2" borderId="0" xfId="0" applyFont="1" applyFill="1" applyAlignment="1">
      <alignment vertical="center"/>
    </xf>
    <xf numFmtId="0" fontId="1" fillId="18" borderId="0" xfId="0" applyFont="1" applyFill="1" applyAlignment="1">
      <alignment vertical="center"/>
    </xf>
    <xf numFmtId="0" fontId="1" fillId="0" borderId="0" xfId="0" applyFont="1" applyAlignment="1">
      <alignment vertical="center"/>
    </xf>
    <xf numFmtId="0" fontId="68" fillId="2" borderId="19" xfId="0" applyFont="1" applyFill="1" applyBorder="1" applyAlignment="1" applyProtection="1">
      <alignment horizontal="justify" vertical="center" wrapText="1"/>
      <protection locked="0"/>
    </xf>
    <xf numFmtId="0" fontId="65" fillId="2" borderId="19" xfId="0" applyFont="1" applyFill="1" applyBorder="1" applyAlignment="1" applyProtection="1">
      <alignment horizontal="justify" vertical="center" wrapText="1"/>
      <protection locked="0"/>
    </xf>
    <xf numFmtId="0" fontId="65" fillId="0" borderId="19" xfId="0" applyFont="1" applyBorder="1" applyAlignment="1" applyProtection="1">
      <alignment horizontal="justify" vertical="center" wrapText="1"/>
      <protection locked="0"/>
    </xf>
    <xf numFmtId="0" fontId="68" fillId="0" borderId="75" xfId="0" applyFont="1" applyBorder="1" applyAlignment="1" applyProtection="1">
      <alignment horizontal="justify" vertical="center" wrapText="1"/>
      <protection locked="0"/>
    </xf>
    <xf numFmtId="0" fontId="65" fillId="2" borderId="19" xfId="0" applyFont="1" applyFill="1" applyBorder="1" applyAlignment="1">
      <alignment vertical="center" wrapText="1"/>
    </xf>
    <xf numFmtId="0" fontId="68" fillId="2" borderId="19" xfId="0" applyFont="1" applyFill="1" applyBorder="1" applyAlignment="1" applyProtection="1">
      <alignment horizontal="left" vertical="center" wrapText="1"/>
      <protection locked="0"/>
    </xf>
    <xf numFmtId="0" fontId="68" fillId="2" borderId="19" xfId="0" applyFont="1" applyFill="1" applyBorder="1" applyAlignment="1" applyProtection="1">
      <alignment horizontal="justify" vertical="center"/>
      <protection locked="0"/>
    </xf>
    <xf numFmtId="0" fontId="65" fillId="2" borderId="20" xfId="0" applyFont="1" applyFill="1" applyBorder="1" applyAlignment="1" applyProtection="1">
      <alignment horizontal="justify" vertical="center" wrapText="1"/>
      <protection locked="0"/>
    </xf>
    <xf numFmtId="0" fontId="68" fillId="0" borderId="19" xfId="0" applyFont="1" applyFill="1" applyBorder="1" applyAlignment="1" applyProtection="1">
      <alignment horizontal="center" vertical="center"/>
      <protection locked="0"/>
    </xf>
    <xf numFmtId="0" fontId="63" fillId="3" borderId="19" xfId="0" applyFont="1" applyFill="1" applyBorder="1" applyAlignment="1" applyProtection="1">
      <alignment horizontal="center" vertical="center" wrapText="1"/>
      <protection hidden="1"/>
    </xf>
    <xf numFmtId="0" fontId="63" fillId="8" borderId="19" xfId="0" applyFont="1" applyFill="1" applyBorder="1" applyAlignment="1" applyProtection="1">
      <alignment horizontal="center" vertical="center" wrapText="1"/>
      <protection hidden="1"/>
    </xf>
    <xf numFmtId="0" fontId="63" fillId="11" borderId="19" xfId="0" applyFont="1" applyFill="1" applyBorder="1" applyAlignment="1" applyProtection="1">
      <alignment horizontal="center" vertical="center"/>
      <protection hidden="1"/>
    </xf>
    <xf numFmtId="0" fontId="63" fillId="6" borderId="19" xfId="0" applyFont="1" applyFill="1" applyBorder="1" applyAlignment="1" applyProtection="1">
      <alignment horizontal="center" vertical="center" textRotation="90" wrapText="1"/>
      <protection hidden="1"/>
    </xf>
    <xf numFmtId="0" fontId="63" fillId="6" borderId="20" xfId="0" applyFont="1" applyFill="1" applyBorder="1" applyAlignment="1" applyProtection="1">
      <alignment horizontal="center" vertical="center" textRotation="90" wrapText="1"/>
      <protection hidden="1"/>
    </xf>
    <xf numFmtId="0" fontId="50" fillId="13" borderId="34" xfId="2" applyFont="1" applyFill="1" applyBorder="1" applyAlignment="1">
      <alignment horizontal="center" vertical="center" wrapText="1"/>
    </xf>
    <xf numFmtId="0" fontId="50" fillId="13" borderId="35" xfId="2" applyFont="1" applyFill="1" applyBorder="1" applyAlignment="1">
      <alignment horizontal="center" vertical="center" wrapText="1"/>
    </xf>
    <xf numFmtId="0" fontId="50" fillId="13" borderId="36" xfId="2" applyFont="1" applyFill="1" applyBorder="1" applyAlignment="1">
      <alignment horizontal="center" vertical="center" wrapText="1"/>
    </xf>
    <xf numFmtId="0" fontId="49" fillId="0" borderId="5" xfId="2" quotePrefix="1" applyFont="1" applyBorder="1" applyAlignment="1">
      <alignment horizontal="left" vertical="center" wrapText="1"/>
    </xf>
    <xf numFmtId="0" fontId="49" fillId="0" borderId="0" xfId="2" quotePrefix="1" applyFont="1" applyAlignment="1">
      <alignment horizontal="left" vertical="center" wrapText="1"/>
    </xf>
    <xf numFmtId="0" fontId="49" fillId="0" borderId="6" xfId="2" quotePrefix="1" applyFont="1" applyBorder="1" applyAlignment="1">
      <alignment horizontal="left" vertical="center" wrapText="1"/>
    </xf>
    <xf numFmtId="0" fontId="49" fillId="0" borderId="54" xfId="2" quotePrefix="1" applyFont="1" applyBorder="1" applyAlignment="1">
      <alignment horizontal="left" vertical="center" wrapText="1"/>
    </xf>
    <xf numFmtId="0" fontId="49" fillId="0" borderId="55" xfId="2" quotePrefix="1" applyFont="1" applyBorder="1" applyAlignment="1">
      <alignment horizontal="left" vertical="center" wrapText="1"/>
    </xf>
    <xf numFmtId="0" fontId="49" fillId="0" borderId="56" xfId="2" quotePrefix="1" applyFont="1" applyBorder="1" applyAlignment="1">
      <alignment horizontal="left" vertical="center" wrapText="1"/>
    </xf>
    <xf numFmtId="0" fontId="51" fillId="2" borderId="37" xfId="2" quotePrefix="1" applyFont="1" applyFill="1" applyBorder="1" applyAlignment="1">
      <alignment horizontal="left" vertical="top" wrapText="1"/>
    </xf>
    <xf numFmtId="0" fontId="52" fillId="2" borderId="38" xfId="2" quotePrefix="1" applyFont="1" applyFill="1" applyBorder="1" applyAlignment="1">
      <alignment horizontal="left" vertical="top" wrapText="1"/>
    </xf>
    <xf numFmtId="0" fontId="52" fillId="2" borderId="39" xfId="2" quotePrefix="1" applyFont="1" applyFill="1" applyBorder="1" applyAlignment="1">
      <alignment horizontal="left" vertical="top" wrapText="1"/>
    </xf>
    <xf numFmtId="0" fontId="49" fillId="0" borderId="5" xfId="2" quotePrefix="1" applyFont="1" applyBorder="1" applyAlignment="1">
      <alignment horizontal="left" vertical="top" wrapText="1"/>
    </xf>
    <xf numFmtId="0" fontId="49" fillId="0" borderId="0" xfId="2" quotePrefix="1" applyFont="1" applyAlignment="1">
      <alignment horizontal="left" vertical="top" wrapText="1"/>
    </xf>
    <xf numFmtId="0" fontId="49" fillId="0" borderId="6" xfId="2" quotePrefix="1" applyFont="1" applyBorder="1" applyAlignment="1">
      <alignment horizontal="left" vertical="top" wrapText="1"/>
    </xf>
    <xf numFmtId="0" fontId="54" fillId="13" borderId="40" xfId="3" applyFont="1" applyFill="1" applyBorder="1" applyAlignment="1">
      <alignment horizontal="center" vertical="center" wrapText="1"/>
    </xf>
    <xf numFmtId="0" fontId="54" fillId="13" borderId="41" xfId="3" applyFont="1" applyFill="1" applyBorder="1" applyAlignment="1">
      <alignment horizontal="center" vertical="center" wrapText="1"/>
    </xf>
    <xf numFmtId="0" fontId="54" fillId="13" borderId="42" xfId="2" applyFont="1" applyFill="1" applyBorder="1" applyAlignment="1">
      <alignment horizontal="center" vertical="center"/>
    </xf>
    <xf numFmtId="0" fontId="54" fillId="13" borderId="43" xfId="2" applyFont="1" applyFill="1" applyBorder="1" applyAlignment="1">
      <alignment horizontal="center" vertical="center"/>
    </xf>
    <xf numFmtId="0" fontId="3" fillId="2" borderId="54" xfId="2" quotePrefix="1" applyFont="1" applyFill="1" applyBorder="1" applyAlignment="1">
      <alignment horizontal="justify" vertical="center" wrapText="1"/>
    </xf>
    <xf numFmtId="0" fontId="3" fillId="2" borderId="55" xfId="2" quotePrefix="1" applyFont="1" applyFill="1" applyBorder="1" applyAlignment="1">
      <alignment horizontal="justify" vertical="center" wrapText="1"/>
    </xf>
    <xf numFmtId="0" fontId="3" fillId="2" borderId="56" xfId="2" quotePrefix="1" applyFont="1" applyFill="1" applyBorder="1" applyAlignment="1">
      <alignment horizontal="justify" vertical="center" wrapText="1"/>
    </xf>
    <xf numFmtId="0" fontId="54" fillId="2" borderId="44" xfId="3" applyFont="1" applyFill="1" applyBorder="1" applyAlignment="1">
      <alignment horizontal="left" vertical="top" wrapText="1" readingOrder="1"/>
    </xf>
    <xf numFmtId="0" fontId="54" fillId="2" borderId="45" xfId="3" applyFont="1" applyFill="1" applyBorder="1" applyAlignment="1">
      <alignment horizontal="left" vertical="top" wrapText="1" readingOrder="1"/>
    </xf>
    <xf numFmtId="0" fontId="55" fillId="2" borderId="46" xfId="2" applyFont="1" applyFill="1" applyBorder="1" applyAlignment="1">
      <alignment horizontal="justify" vertical="center" wrapText="1"/>
    </xf>
    <xf numFmtId="0" fontId="55" fillId="2" borderId="47" xfId="2" applyFont="1" applyFill="1" applyBorder="1" applyAlignment="1">
      <alignment horizontal="justify" vertical="center" wrapText="1"/>
    </xf>
    <xf numFmtId="0" fontId="54" fillId="2" borderId="48" xfId="0" applyFont="1" applyFill="1" applyBorder="1" applyAlignment="1">
      <alignment horizontal="left" vertical="center" wrapText="1"/>
    </xf>
    <xf numFmtId="0" fontId="54" fillId="2" borderId="49" xfId="0" applyFont="1" applyFill="1" applyBorder="1" applyAlignment="1">
      <alignment horizontal="left" vertical="center" wrapText="1"/>
    </xf>
    <xf numFmtId="0" fontId="55" fillId="2" borderId="50" xfId="2" applyFont="1" applyFill="1" applyBorder="1" applyAlignment="1">
      <alignment horizontal="justify" vertical="center" wrapText="1"/>
    </xf>
    <xf numFmtId="0" fontId="55" fillId="2" borderId="51" xfId="2" applyFont="1" applyFill="1" applyBorder="1" applyAlignment="1">
      <alignment horizontal="justify" vertical="center" wrapText="1"/>
    </xf>
    <xf numFmtId="0" fontId="49" fillId="2" borderId="5" xfId="2" applyFont="1" applyFill="1" applyBorder="1" applyAlignment="1">
      <alignment horizontal="left" vertical="top" wrapText="1"/>
    </xf>
    <xf numFmtId="0" fontId="49" fillId="2" borderId="0" xfId="2" applyFont="1" applyFill="1" applyAlignment="1">
      <alignment horizontal="left" vertical="top" wrapText="1"/>
    </xf>
    <xf numFmtId="0" fontId="49" fillId="2" borderId="6" xfId="2" applyFont="1" applyFill="1" applyBorder="1" applyAlignment="1">
      <alignment horizontal="left" vertical="top" wrapText="1"/>
    </xf>
    <xf numFmtId="0" fontId="54" fillId="2" borderId="57" xfId="0" applyFont="1" applyFill="1" applyBorder="1" applyAlignment="1">
      <alignment horizontal="left" vertical="center" wrapText="1"/>
    </xf>
    <xf numFmtId="0" fontId="54" fillId="2" borderId="58" xfId="0" applyFont="1" applyFill="1" applyBorder="1" applyAlignment="1">
      <alignment horizontal="left" vertical="center" wrapText="1"/>
    </xf>
    <xf numFmtId="0" fontId="54" fillId="2" borderId="59" xfId="0" applyFont="1" applyFill="1" applyBorder="1" applyAlignment="1">
      <alignment horizontal="left" vertical="center" wrapText="1"/>
    </xf>
    <xf numFmtId="0" fontId="54" fillId="2" borderId="60" xfId="0" applyFont="1" applyFill="1" applyBorder="1" applyAlignment="1">
      <alignment horizontal="left" vertical="center" wrapText="1"/>
    </xf>
    <xf numFmtId="0" fontId="55" fillId="2" borderId="52" xfId="0" applyFont="1" applyFill="1" applyBorder="1" applyAlignment="1">
      <alignment horizontal="justify" vertical="center" wrapText="1"/>
    </xf>
    <xf numFmtId="0" fontId="55" fillId="2" borderId="53" xfId="0" applyFont="1" applyFill="1" applyBorder="1" applyAlignment="1">
      <alignment horizontal="justify" vertical="center" wrapText="1"/>
    </xf>
    <xf numFmtId="0" fontId="3" fillId="2" borderId="74" xfId="2" applyFont="1" applyFill="1" applyBorder="1" applyAlignment="1">
      <alignment horizontal="center"/>
    </xf>
    <xf numFmtId="0" fontId="3" fillId="2" borderId="77" xfId="2" applyFont="1" applyFill="1" applyBorder="1" applyAlignment="1">
      <alignment horizontal="center"/>
    </xf>
    <xf numFmtId="0" fontId="3" fillId="2" borderId="78" xfId="2" applyFont="1" applyFill="1" applyBorder="1" applyAlignment="1">
      <alignment horizontal="center"/>
    </xf>
    <xf numFmtId="0" fontId="52" fillId="13" borderId="19" xfId="2" applyFont="1" applyFill="1" applyBorder="1" applyAlignment="1">
      <alignment horizontal="center" vertical="center" wrapText="1"/>
    </xf>
    <xf numFmtId="0" fontId="65" fillId="2" borderId="40" xfId="2" applyFont="1" applyFill="1" applyBorder="1" applyAlignment="1">
      <alignment horizontal="center"/>
    </xf>
    <xf numFmtId="0" fontId="65" fillId="2" borderId="97" xfId="2" applyFont="1" applyFill="1" applyBorder="1" applyAlignment="1">
      <alignment horizontal="center"/>
    </xf>
    <xf numFmtId="0" fontId="65" fillId="2" borderId="98" xfId="2" applyFont="1" applyFill="1" applyBorder="1" applyAlignment="1">
      <alignment horizontal="center"/>
    </xf>
    <xf numFmtId="0" fontId="65" fillId="2" borderId="0" xfId="2" applyFont="1" applyFill="1" applyAlignment="1">
      <alignment horizontal="center"/>
    </xf>
    <xf numFmtId="0" fontId="65" fillId="2" borderId="99" xfId="2" applyFont="1" applyFill="1" applyBorder="1" applyAlignment="1">
      <alignment horizontal="center"/>
    </xf>
    <xf numFmtId="0" fontId="65" fillId="2" borderId="100" xfId="2" applyFont="1" applyFill="1" applyBorder="1" applyAlignment="1">
      <alignment horizontal="center"/>
    </xf>
    <xf numFmtId="0" fontId="63" fillId="0" borderId="90" xfId="2" applyFont="1" applyBorder="1" applyAlignment="1">
      <alignment horizontal="center" vertical="center" wrapText="1"/>
    </xf>
    <xf numFmtId="0" fontId="63" fillId="0" borderId="91" xfId="2" applyFont="1" applyBorder="1" applyAlignment="1">
      <alignment horizontal="center" vertical="center" wrapText="1"/>
    </xf>
    <xf numFmtId="0" fontId="64" fillId="2" borderId="19" xfId="2" applyFont="1" applyFill="1" applyBorder="1" applyAlignment="1">
      <alignment horizontal="center" vertical="center"/>
    </xf>
    <xf numFmtId="0" fontId="64" fillId="2" borderId="93" xfId="2" applyFont="1" applyFill="1" applyBorder="1" applyAlignment="1">
      <alignment horizontal="center" vertical="center"/>
    </xf>
    <xf numFmtId="0" fontId="65" fillId="2" borderId="95" xfId="2" applyFont="1" applyFill="1" applyBorder="1" applyAlignment="1">
      <alignment horizontal="left" vertical="center"/>
    </xf>
    <xf numFmtId="0" fontId="65" fillId="2" borderId="96" xfId="2" applyFont="1" applyFill="1" applyBorder="1" applyAlignment="1">
      <alignment horizontal="left" vertical="center"/>
    </xf>
    <xf numFmtId="0" fontId="65" fillId="0" borderId="19" xfId="2" quotePrefix="1" applyFont="1" applyBorder="1" applyAlignment="1">
      <alignment horizontal="left" vertical="center" wrapText="1"/>
    </xf>
    <xf numFmtId="0" fontId="69" fillId="2" borderId="19" xfId="2" quotePrefix="1" applyFont="1" applyFill="1" applyBorder="1" applyAlignment="1">
      <alignment horizontal="left" vertical="top" wrapText="1"/>
    </xf>
    <xf numFmtId="0" fontId="64" fillId="2" borderId="19" xfId="2" quotePrefix="1" applyFont="1" applyFill="1" applyBorder="1" applyAlignment="1">
      <alignment horizontal="left" vertical="top" wrapText="1"/>
    </xf>
    <xf numFmtId="0" fontId="65" fillId="2" borderId="19" xfId="2" quotePrefix="1" applyFont="1" applyFill="1" applyBorder="1" applyAlignment="1">
      <alignment horizontal="justify" vertical="center" wrapText="1"/>
    </xf>
    <xf numFmtId="0" fontId="3" fillId="0" borderId="19" xfId="2" quotePrefix="1" applyFont="1" applyBorder="1" applyAlignment="1">
      <alignment horizontal="left" vertical="center" wrapText="1"/>
    </xf>
    <xf numFmtId="0" fontId="64" fillId="13" borderId="80" xfId="3" applyFont="1" applyFill="1" applyBorder="1" applyAlignment="1">
      <alignment horizontal="center" vertical="center" wrapText="1"/>
    </xf>
    <xf numFmtId="0" fontId="64" fillId="13" borderId="81" xfId="3" applyFont="1" applyFill="1" applyBorder="1" applyAlignment="1">
      <alignment horizontal="center" vertical="center" wrapText="1"/>
    </xf>
    <xf numFmtId="0" fontId="64" fillId="13" borderId="42" xfId="2" applyFont="1" applyFill="1" applyBorder="1" applyAlignment="1">
      <alignment horizontal="center" vertical="center"/>
    </xf>
    <xf numFmtId="0" fontId="64" fillId="13" borderId="43" xfId="2" applyFont="1" applyFill="1" applyBorder="1" applyAlignment="1">
      <alignment horizontal="center" vertical="center"/>
    </xf>
    <xf numFmtId="0" fontId="51" fillId="2" borderId="74" xfId="2" quotePrefix="1" applyFont="1" applyFill="1" applyBorder="1" applyAlignment="1">
      <alignment horizontal="center" vertical="top" wrapText="1"/>
    </xf>
    <xf numFmtId="0" fontId="51" fillId="2" borderId="77" xfId="2" quotePrefix="1" applyFont="1" applyFill="1" applyBorder="1" applyAlignment="1">
      <alignment horizontal="center" vertical="top" wrapText="1"/>
    </xf>
    <xf numFmtId="0" fontId="51" fillId="2" borderId="78" xfId="2" quotePrefix="1" applyFont="1" applyFill="1" applyBorder="1" applyAlignment="1">
      <alignment horizontal="center" vertical="top" wrapText="1"/>
    </xf>
    <xf numFmtId="0" fontId="64" fillId="2" borderId="82" xfId="3" applyFont="1" applyFill="1" applyBorder="1" applyAlignment="1">
      <alignment horizontal="left" vertical="top" wrapText="1" readingOrder="1"/>
    </xf>
    <xf numFmtId="0" fontId="64" fillId="2" borderId="83" xfId="3" applyFont="1" applyFill="1" applyBorder="1" applyAlignment="1">
      <alignment horizontal="left" vertical="top" wrapText="1" readingOrder="1"/>
    </xf>
    <xf numFmtId="0" fontId="65" fillId="2" borderId="46" xfId="2" applyFont="1" applyFill="1" applyBorder="1" applyAlignment="1">
      <alignment horizontal="justify" vertical="center" wrapText="1"/>
    </xf>
    <xf numFmtId="0" fontId="65" fillId="2" borderId="47" xfId="2" applyFont="1" applyFill="1" applyBorder="1" applyAlignment="1">
      <alignment horizontal="justify" vertical="center" wrapText="1"/>
    </xf>
    <xf numFmtId="0" fontId="64" fillId="2" borderId="84" xfId="3" applyFont="1" applyFill="1" applyBorder="1" applyAlignment="1">
      <alignment horizontal="left" vertical="top" wrapText="1" readingOrder="1"/>
    </xf>
    <xf numFmtId="0" fontId="64" fillId="2" borderId="85" xfId="3" applyFont="1" applyFill="1" applyBorder="1" applyAlignment="1">
      <alignment horizontal="left" vertical="top" wrapText="1" readingOrder="1"/>
    </xf>
    <xf numFmtId="0" fontId="64" fillId="2" borderId="57" xfId="0" applyFont="1" applyFill="1" applyBorder="1" applyAlignment="1">
      <alignment horizontal="left" vertical="center" wrapText="1"/>
    </xf>
    <xf numFmtId="0" fontId="64" fillId="2" borderId="58" xfId="0" applyFont="1" applyFill="1" applyBorder="1" applyAlignment="1">
      <alignment horizontal="left" vertical="center" wrapText="1"/>
    </xf>
    <xf numFmtId="0" fontId="65" fillId="2" borderId="50" xfId="2" applyFont="1" applyFill="1" applyBorder="1" applyAlignment="1">
      <alignment horizontal="justify" vertical="center" wrapText="1"/>
    </xf>
    <xf numFmtId="0" fontId="65" fillId="2" borderId="51" xfId="2" applyFont="1" applyFill="1" applyBorder="1" applyAlignment="1">
      <alignment horizontal="justify" vertical="center" wrapText="1"/>
    </xf>
    <xf numFmtId="0" fontId="3" fillId="2" borderId="5" xfId="2" applyFont="1" applyFill="1" applyBorder="1" applyAlignment="1">
      <alignment horizontal="left" vertical="top" wrapText="1"/>
    </xf>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64" fillId="2" borderId="59" xfId="0" applyFont="1" applyFill="1" applyBorder="1" applyAlignment="1">
      <alignment horizontal="left" vertical="center" wrapText="1"/>
    </xf>
    <xf numFmtId="0" fontId="64" fillId="2" borderId="60" xfId="0" applyFont="1" applyFill="1" applyBorder="1" applyAlignment="1">
      <alignment horizontal="left" vertical="center" wrapText="1"/>
    </xf>
    <xf numFmtId="0" fontId="65" fillId="2" borderId="52" xfId="2" applyFont="1" applyFill="1" applyBorder="1" applyAlignment="1">
      <alignment horizontal="justify" vertical="center" wrapText="1"/>
    </xf>
    <xf numFmtId="0" fontId="65" fillId="2" borderId="53" xfId="2" applyFont="1" applyFill="1" applyBorder="1" applyAlignment="1">
      <alignment horizontal="justify" vertical="center" wrapText="1"/>
    </xf>
    <xf numFmtId="0" fontId="63" fillId="14" borderId="21" xfId="0" applyFont="1" applyFill="1" applyBorder="1" applyAlignment="1">
      <alignment horizontal="center" vertical="center" wrapText="1"/>
    </xf>
    <xf numFmtId="0" fontId="63" fillId="14" borderId="22" xfId="0" applyFont="1" applyFill="1" applyBorder="1" applyAlignment="1">
      <alignment horizontal="center" vertical="center" wrapText="1"/>
    </xf>
    <xf numFmtId="0" fontId="63" fillId="14" borderId="10" xfId="0" applyFont="1" applyFill="1" applyBorder="1" applyAlignment="1">
      <alignment horizontal="center" vertical="center" wrapText="1"/>
    </xf>
    <xf numFmtId="0" fontId="63" fillId="14" borderId="33" xfId="0" applyFont="1" applyFill="1" applyBorder="1" applyAlignment="1">
      <alignment horizontal="center" vertical="center" wrapText="1"/>
    </xf>
    <xf numFmtId="0" fontId="63" fillId="25" borderId="102" xfId="0" applyFont="1" applyFill="1" applyBorder="1" applyAlignment="1">
      <alignment horizontal="center" vertical="center" textRotation="90" wrapText="1"/>
    </xf>
    <xf numFmtId="0" fontId="63" fillId="25" borderId="103" xfId="0" applyFont="1" applyFill="1" applyBorder="1" applyAlignment="1">
      <alignment horizontal="center" vertical="center" textRotation="90" wrapText="1"/>
    </xf>
    <xf numFmtId="0" fontId="63" fillId="25" borderId="104" xfId="0" applyFont="1" applyFill="1" applyBorder="1" applyAlignment="1">
      <alignment horizontal="center" vertical="center" textRotation="90" wrapText="1"/>
    </xf>
    <xf numFmtId="0" fontId="63" fillId="25" borderId="72" xfId="0" applyFont="1" applyFill="1" applyBorder="1" applyAlignment="1">
      <alignment horizontal="center" vertical="center" textRotation="90" wrapText="1"/>
    </xf>
    <xf numFmtId="0" fontId="63" fillId="25" borderId="69" xfId="0" applyFont="1" applyFill="1" applyBorder="1" applyAlignment="1">
      <alignment horizontal="center" vertical="center" textRotation="90" wrapText="1"/>
    </xf>
    <xf numFmtId="0" fontId="63" fillId="25" borderId="101" xfId="0" applyFont="1" applyFill="1" applyBorder="1" applyAlignment="1">
      <alignment horizontal="center" vertical="center" textRotation="90" wrapText="1"/>
    </xf>
    <xf numFmtId="0" fontId="97" fillId="0" borderId="21" xfId="0" applyFont="1" applyBorder="1" applyAlignment="1">
      <alignment horizontal="center" vertical="center" wrapText="1"/>
    </xf>
    <xf numFmtId="0" fontId="97" fillId="0" borderId="22" xfId="0" applyFont="1" applyBorder="1" applyAlignment="1">
      <alignment horizontal="center" vertical="center"/>
    </xf>
    <xf numFmtId="0" fontId="97" fillId="0" borderId="33" xfId="0" applyFont="1" applyBorder="1" applyAlignment="1">
      <alignment horizontal="center" vertical="center"/>
    </xf>
    <xf numFmtId="0" fontId="63" fillId="29" borderId="5" xfId="0" applyFont="1" applyFill="1" applyBorder="1" applyAlignment="1">
      <alignment horizontal="center" vertical="center"/>
    </xf>
    <xf numFmtId="0" fontId="63" fillId="29" borderId="0" xfId="0" applyFont="1" applyFill="1" applyAlignment="1">
      <alignment horizontal="center" vertical="center"/>
    </xf>
    <xf numFmtId="0" fontId="63" fillId="29" borderId="6" xfId="0" applyFont="1" applyFill="1" applyBorder="1" applyAlignment="1">
      <alignment horizontal="center" vertical="center"/>
    </xf>
    <xf numFmtId="0" fontId="63" fillId="29" borderId="5" xfId="6" applyFont="1" applyFill="1" applyBorder="1" applyAlignment="1">
      <alignment horizontal="center" vertical="center" wrapText="1"/>
    </xf>
    <xf numFmtId="0" fontId="63" fillId="29" borderId="0" xfId="6" applyFont="1" applyFill="1" applyAlignment="1">
      <alignment horizontal="center" vertical="center" wrapText="1"/>
    </xf>
    <xf numFmtId="0" fontId="63" fillId="29" borderId="6" xfId="6" applyFont="1" applyFill="1" applyBorder="1" applyAlignment="1">
      <alignment horizontal="center" vertical="center" wrapText="1"/>
    </xf>
    <xf numFmtId="0" fontId="63" fillId="17" borderId="5" xfId="6" applyFont="1" applyFill="1" applyBorder="1" applyAlignment="1">
      <alignment horizontal="center" vertical="center" wrapText="1"/>
    </xf>
    <xf numFmtId="0" fontId="63" fillId="17" borderId="0" xfId="6" applyFont="1" applyFill="1" applyAlignment="1">
      <alignment horizontal="center" vertical="center" wrapText="1"/>
    </xf>
    <xf numFmtId="0" fontId="63" fillId="17" borderId="6" xfId="6" applyFont="1" applyFill="1" applyBorder="1" applyAlignment="1">
      <alignment horizontal="center" vertical="center" wrapText="1"/>
    </xf>
    <xf numFmtId="0" fontId="63" fillId="27" borderId="67" xfId="6" applyFont="1" applyFill="1" applyBorder="1" applyAlignment="1">
      <alignment horizontal="center" vertical="center" wrapText="1"/>
    </xf>
    <xf numFmtId="0" fontId="63" fillId="27" borderId="66" xfId="6" applyFont="1" applyFill="1" applyBorder="1" applyAlignment="1">
      <alignment horizontal="center" vertical="center" wrapText="1"/>
    </xf>
    <xf numFmtId="0" fontId="63" fillId="27" borderId="64" xfId="6" applyFont="1" applyFill="1" applyBorder="1" applyAlignment="1">
      <alignment horizontal="center" vertical="center" wrapText="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63" fillId="28" borderId="72" xfId="0" applyFont="1" applyFill="1" applyBorder="1" applyAlignment="1">
      <alignment horizontal="center" vertical="center" wrapText="1"/>
    </xf>
    <xf numFmtId="0" fontId="63" fillId="28" borderId="69" xfId="0" applyFont="1" applyFill="1" applyBorder="1" applyAlignment="1">
      <alignment horizontal="center" vertical="center" wrapText="1"/>
    </xf>
    <xf numFmtId="0" fontId="63" fillId="28" borderId="101" xfId="0" applyFont="1" applyFill="1" applyBorder="1" applyAlignment="1">
      <alignment horizontal="center" vertical="center" wrapText="1"/>
    </xf>
    <xf numFmtId="0" fontId="63" fillId="28" borderId="67" xfId="6" applyFont="1" applyFill="1" applyBorder="1" applyAlignment="1">
      <alignment horizontal="center" vertical="center" wrapText="1"/>
    </xf>
    <xf numFmtId="0" fontId="63" fillId="28" borderId="66" xfId="6" applyFont="1" applyFill="1" applyBorder="1" applyAlignment="1">
      <alignment horizontal="center" vertical="center" wrapText="1"/>
    </xf>
    <xf numFmtId="0" fontId="63" fillId="28" borderId="64" xfId="6" applyFont="1" applyFill="1" applyBorder="1" applyAlignment="1">
      <alignment horizontal="center" vertical="center" wrapText="1"/>
    </xf>
    <xf numFmtId="0" fontId="63" fillId="19" borderId="67" xfId="0" applyFont="1" applyFill="1" applyBorder="1" applyAlignment="1">
      <alignment horizontal="center" vertical="center" textRotation="90" wrapText="1"/>
    </xf>
    <xf numFmtId="0" fontId="63" fillId="19" borderId="66" xfId="0" applyFont="1" applyFill="1" applyBorder="1" applyAlignment="1">
      <alignment horizontal="center" vertical="center" textRotation="90" wrapText="1"/>
    </xf>
    <xf numFmtId="0" fontId="63" fillId="19" borderId="64" xfId="0" applyFont="1" applyFill="1" applyBorder="1" applyAlignment="1">
      <alignment horizontal="center" vertical="center" textRotation="90" wrapText="1"/>
    </xf>
    <xf numFmtId="0" fontId="63" fillId="28" borderId="67" xfId="0" applyFont="1" applyFill="1" applyBorder="1" applyAlignment="1">
      <alignment horizontal="center" vertical="center" wrapText="1"/>
    </xf>
    <xf numFmtId="0" fontId="63" fillId="28" borderId="66" xfId="0" applyFont="1" applyFill="1" applyBorder="1" applyAlignment="1">
      <alignment horizontal="center" vertical="center" wrapText="1"/>
    </xf>
    <xf numFmtId="0" fontId="63" fillId="28" borderId="64" xfId="0" applyFont="1" applyFill="1" applyBorder="1" applyAlignment="1">
      <alignment horizontal="center" vertical="center" wrapText="1"/>
    </xf>
    <xf numFmtId="0" fontId="63" fillId="25" borderId="67" xfId="0" applyFont="1" applyFill="1" applyBorder="1" applyAlignment="1">
      <alignment horizontal="center" vertical="center" textRotation="90" wrapText="1"/>
    </xf>
    <xf numFmtId="0" fontId="63" fillId="25" borderId="66" xfId="0" applyFont="1" applyFill="1" applyBorder="1" applyAlignment="1">
      <alignment horizontal="center" vertical="center" textRotation="90" wrapText="1"/>
    </xf>
    <xf numFmtId="0" fontId="63" fillId="25" borderId="64" xfId="0" applyFont="1" applyFill="1" applyBorder="1" applyAlignment="1">
      <alignment horizontal="center" vertical="center" textRotation="90" wrapText="1"/>
    </xf>
    <xf numFmtId="0" fontId="63" fillId="0" borderId="19" xfId="0" applyFont="1" applyBorder="1" applyAlignment="1">
      <alignment horizontal="center" vertical="center"/>
    </xf>
    <xf numFmtId="0" fontId="90" fillId="0" borderId="19" xfId="0" applyFont="1" applyBorder="1" applyAlignment="1">
      <alignment horizontal="center" vertical="center"/>
    </xf>
    <xf numFmtId="0" fontId="63" fillId="0" borderId="19" xfId="0" applyFont="1" applyBorder="1" applyAlignment="1">
      <alignment horizontal="center" vertical="center" wrapText="1"/>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justify" vertical="center" wrapText="1"/>
      <protection locked="0"/>
    </xf>
    <xf numFmtId="0" fontId="63" fillId="14" borderId="67" xfId="0" applyFont="1" applyFill="1" applyBorder="1" applyAlignment="1">
      <alignment horizontal="center" vertical="center" textRotation="90"/>
    </xf>
    <xf numFmtId="0" fontId="63" fillId="14" borderId="66" xfId="0" applyFont="1" applyFill="1" applyBorder="1" applyAlignment="1">
      <alignment horizontal="center" vertical="center" textRotation="90"/>
    </xf>
    <xf numFmtId="0" fontId="63" fillId="14" borderId="64" xfId="0" applyFont="1" applyFill="1" applyBorder="1" applyAlignment="1">
      <alignment horizontal="center" vertical="center" textRotation="90"/>
    </xf>
    <xf numFmtId="0" fontId="63" fillId="14" borderId="70" xfId="0" applyFont="1" applyFill="1" applyBorder="1" applyAlignment="1">
      <alignment horizontal="center" vertical="center" textRotation="90"/>
    </xf>
    <xf numFmtId="0" fontId="63" fillId="14" borderId="105" xfId="0" applyFont="1" applyFill="1" applyBorder="1" applyAlignment="1">
      <alignment horizontal="center" vertical="center" textRotation="90"/>
    </xf>
    <xf numFmtId="0" fontId="63" fillId="27" borderId="3" xfId="0" applyFont="1" applyFill="1" applyBorder="1" applyAlignment="1">
      <alignment horizontal="center" vertical="center" wrapText="1"/>
    </xf>
    <xf numFmtId="0" fontId="63" fillId="27" borderId="4" xfId="0" applyFont="1" applyFill="1" applyBorder="1" applyAlignment="1">
      <alignment horizontal="center" vertical="center" wrapText="1"/>
    </xf>
    <xf numFmtId="0" fontId="63" fillId="27" borderId="7" xfId="0" applyFont="1" applyFill="1" applyBorder="1" applyAlignment="1">
      <alignment horizontal="center" vertical="center" wrapText="1"/>
    </xf>
    <xf numFmtId="0" fontId="63" fillId="27" borderId="8" xfId="0" applyFont="1" applyFill="1" applyBorder="1" applyAlignment="1">
      <alignment horizontal="center" vertical="center" wrapText="1"/>
    </xf>
    <xf numFmtId="0" fontId="63" fillId="27" borderId="67" xfId="0" applyFont="1" applyFill="1" applyBorder="1" applyAlignment="1">
      <alignment horizontal="center" vertical="center" wrapText="1"/>
    </xf>
    <xf numFmtId="0" fontId="63" fillId="27" borderId="64" xfId="0" applyFont="1" applyFill="1" applyBorder="1" applyAlignment="1">
      <alignment horizontal="center" vertical="center" wrapText="1"/>
    </xf>
    <xf numFmtId="0" fontId="63" fillId="14" borderId="67" xfId="0" applyFont="1" applyFill="1" applyBorder="1" applyAlignment="1">
      <alignment horizontal="center" vertical="center" wrapText="1"/>
    </xf>
    <xf numFmtId="0" fontId="63" fillId="14" borderId="66" xfId="0" applyFont="1" applyFill="1" applyBorder="1" applyAlignment="1">
      <alignment horizontal="center" vertical="center" wrapText="1"/>
    </xf>
    <xf numFmtId="0" fontId="63" fillId="14" borderId="64" xfId="0" applyFont="1" applyFill="1" applyBorder="1" applyAlignment="1">
      <alignment horizontal="center" vertical="center" wrapText="1"/>
    </xf>
    <xf numFmtId="0" fontId="63" fillId="26" borderId="73" xfId="0" applyFont="1" applyFill="1" applyBorder="1" applyAlignment="1">
      <alignment horizontal="center" vertical="center" wrapText="1"/>
    </xf>
    <xf numFmtId="0" fontId="63" fillId="26" borderId="71" xfId="0" applyFont="1" applyFill="1" applyBorder="1" applyAlignment="1">
      <alignment horizontal="center" vertical="center" wrapText="1"/>
    </xf>
    <xf numFmtId="0" fontId="63" fillId="26" borderId="106" xfId="0" applyFont="1" applyFill="1" applyBorder="1" applyAlignment="1">
      <alignment horizontal="center" vertical="center" wrapText="1"/>
    </xf>
    <xf numFmtId="0" fontId="63" fillId="14" borderId="67" xfId="0" applyFont="1" applyFill="1" applyBorder="1" applyAlignment="1">
      <alignment horizontal="center" vertical="center" textRotation="90" wrapText="1"/>
    </xf>
    <xf numFmtId="0" fontId="63" fillId="14" borderId="66" xfId="0" applyFont="1" applyFill="1" applyBorder="1" applyAlignment="1">
      <alignment horizontal="center" vertical="center" textRotation="90" wrapText="1"/>
    </xf>
    <xf numFmtId="0" fontId="63" fillId="14" borderId="64" xfId="0" applyFont="1" applyFill="1" applyBorder="1" applyAlignment="1">
      <alignment horizontal="center" vertical="center" textRotation="90" wrapText="1"/>
    </xf>
    <xf numFmtId="9" fontId="68" fillId="0" borderId="19" xfId="0" applyNumberFormat="1"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locked="0"/>
    </xf>
    <xf numFmtId="0" fontId="63" fillId="0" borderId="19" xfId="0" applyFont="1" applyBorder="1" applyAlignment="1" applyProtection="1">
      <alignment horizontal="center" vertical="center" wrapText="1"/>
      <protection hidden="1"/>
    </xf>
    <xf numFmtId="0" fontId="63" fillId="0" borderId="19" xfId="0" applyFont="1" applyBorder="1" applyAlignment="1" applyProtection="1">
      <alignment horizontal="center" vertical="center"/>
      <protection hidden="1"/>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horizontal="justify" vertical="center" wrapText="1"/>
      <protection locked="0"/>
    </xf>
    <xf numFmtId="0" fontId="98" fillId="0" borderId="19" xfId="0" applyFont="1" applyBorder="1" applyAlignment="1" applyProtection="1">
      <alignment horizontal="center" vertical="center"/>
      <protection hidden="1"/>
    </xf>
    <xf numFmtId="0" fontId="65" fillId="0" borderId="19" xfId="0" applyFont="1" applyBorder="1" applyAlignment="1" applyProtection="1">
      <alignment horizontal="center" vertical="center"/>
      <protection locked="0"/>
    </xf>
    <xf numFmtId="0" fontId="65" fillId="0" borderId="19" xfId="0" applyFont="1" applyBorder="1" applyAlignment="1" applyProtection="1">
      <alignment horizontal="center" vertical="center" wrapText="1"/>
      <protection locked="0"/>
    </xf>
    <xf numFmtId="0" fontId="92" fillId="0" borderId="19" xfId="0" applyFont="1" applyBorder="1" applyAlignment="1" applyProtection="1">
      <alignment horizontal="center" vertical="center"/>
      <protection locked="0"/>
    </xf>
    <xf numFmtId="0" fontId="90" fillId="0" borderId="20" xfId="0" applyFont="1" applyBorder="1" applyAlignment="1">
      <alignment horizontal="center" vertical="center"/>
    </xf>
    <xf numFmtId="0" fontId="63" fillId="3" borderId="19" xfId="0" applyFont="1" applyFill="1" applyBorder="1" applyAlignment="1" applyProtection="1">
      <alignment horizontal="center" vertical="center" wrapText="1"/>
      <protection hidden="1"/>
    </xf>
    <xf numFmtId="0" fontId="63" fillId="6" borderId="19" xfId="0" applyFont="1" applyFill="1" applyBorder="1" applyAlignment="1" applyProtection="1">
      <alignment horizontal="center" vertical="center" wrapText="1"/>
      <protection hidden="1"/>
    </xf>
    <xf numFmtId="0" fontId="63" fillId="12" borderId="19" xfId="0" applyFont="1" applyFill="1" applyBorder="1" applyAlignment="1" applyProtection="1">
      <alignment horizontal="center" vertical="center"/>
      <protection hidden="1"/>
    </xf>
    <xf numFmtId="0" fontId="63" fillId="8" borderId="20" xfId="0" applyFont="1" applyFill="1" applyBorder="1" applyAlignment="1" applyProtection="1">
      <alignment horizontal="center" vertical="center" wrapText="1"/>
      <protection hidden="1"/>
    </xf>
    <xf numFmtId="0" fontId="63" fillId="8" borderId="19" xfId="0" applyFont="1" applyFill="1" applyBorder="1" applyAlignment="1" applyProtection="1">
      <alignment horizontal="center" vertical="center" wrapText="1"/>
      <protection hidden="1"/>
    </xf>
    <xf numFmtId="9" fontId="68" fillId="0" borderId="20" xfId="0" applyNumberFormat="1" applyFont="1" applyBorder="1" applyAlignment="1" applyProtection="1">
      <alignment horizontal="center" vertical="center" wrapText="1"/>
      <protection hidden="1"/>
    </xf>
    <xf numFmtId="0" fontId="63" fillId="11" borderId="20" xfId="0" applyFont="1" applyFill="1" applyBorder="1" applyAlignment="1" applyProtection="1">
      <alignment horizontal="center" vertical="center"/>
      <protection hidden="1"/>
    </xf>
    <xf numFmtId="0" fontId="63" fillId="11" borderId="19" xfId="0" applyFont="1" applyFill="1" applyBorder="1" applyAlignment="1" applyProtection="1">
      <alignment horizontal="center" vertical="center"/>
      <protection hidden="1"/>
    </xf>
    <xf numFmtId="0" fontId="68" fillId="0" borderId="20" xfId="0" applyFont="1" applyBorder="1" applyAlignment="1" applyProtection="1">
      <alignment horizontal="center" vertical="center"/>
      <protection locked="0"/>
    </xf>
    <xf numFmtId="0" fontId="63" fillId="3" borderId="107" xfId="0" applyFont="1" applyFill="1" applyBorder="1" applyAlignment="1" applyProtection="1">
      <alignment horizontal="center" vertical="center" wrapText="1"/>
      <protection hidden="1"/>
    </xf>
    <xf numFmtId="0" fontId="63" fillId="3" borderId="61" xfId="0" applyFont="1" applyFill="1" applyBorder="1" applyAlignment="1" applyProtection="1">
      <alignment horizontal="center" vertical="center" wrapText="1"/>
      <protection hidden="1"/>
    </xf>
    <xf numFmtId="0" fontId="63" fillId="3" borderId="20" xfId="0" applyFont="1" applyFill="1" applyBorder="1" applyAlignment="1" applyProtection="1">
      <alignment horizontal="center" vertical="center" wrapText="1"/>
      <protection hidden="1"/>
    </xf>
    <xf numFmtId="0" fontId="63" fillId="30" borderId="19" xfId="0" applyFont="1" applyFill="1" applyBorder="1" applyAlignment="1" applyProtection="1">
      <alignment horizontal="center" vertical="center" wrapText="1"/>
      <protection hidden="1"/>
    </xf>
    <xf numFmtId="0" fontId="63" fillId="0" borderId="107" xfId="0" applyFont="1" applyBorder="1" applyAlignment="1" applyProtection="1">
      <alignment horizontal="center" vertical="center" wrapText="1"/>
      <protection hidden="1"/>
    </xf>
    <xf numFmtId="0" fontId="63" fillId="0" borderId="61" xfId="0" applyFont="1" applyBorder="1" applyAlignment="1" applyProtection="1">
      <alignment horizontal="center" vertical="center" wrapText="1"/>
      <protection hidden="1"/>
    </xf>
    <xf numFmtId="0" fontId="63" fillId="0" borderId="20" xfId="0" applyFont="1" applyBorder="1" applyAlignment="1" applyProtection="1">
      <alignment horizontal="center" vertical="center" wrapText="1"/>
      <protection hidden="1"/>
    </xf>
    <xf numFmtId="0" fontId="63" fillId="0" borderId="20" xfId="0" applyFont="1" applyBorder="1" applyAlignment="1">
      <alignment horizontal="center" vertical="center"/>
    </xf>
    <xf numFmtId="0" fontId="63" fillId="0" borderId="20" xfId="0" applyFont="1" applyBorder="1" applyAlignment="1">
      <alignment horizontal="center" vertical="center" wrapText="1"/>
    </xf>
    <xf numFmtId="0" fontId="68" fillId="0" borderId="20" xfId="0" applyFont="1" applyBorder="1" applyAlignment="1" applyProtection="1">
      <alignment horizontal="left" vertical="center" wrapText="1"/>
      <protection locked="0"/>
    </xf>
    <xf numFmtId="0" fontId="68" fillId="0" borderId="20" xfId="0" applyFont="1" applyBorder="1" applyAlignment="1" applyProtection="1">
      <alignment horizontal="justify" vertical="center" wrapText="1"/>
      <protection locked="0"/>
    </xf>
    <xf numFmtId="0" fontId="65" fillId="0" borderId="20" xfId="0" applyFont="1" applyBorder="1" applyAlignment="1" applyProtection="1">
      <alignment horizontal="justify" vertical="center" wrapText="1"/>
      <protection locked="0"/>
    </xf>
    <xf numFmtId="0" fontId="68" fillId="0" borderId="20" xfId="0" applyFont="1" applyBorder="1" applyAlignment="1" applyProtection="1">
      <alignment horizontal="center" vertical="center" wrapText="1"/>
      <protection locked="0"/>
    </xf>
    <xf numFmtId="0" fontId="65" fillId="0" borderId="20" xfId="0" applyFont="1" applyBorder="1" applyAlignment="1" applyProtection="1">
      <alignment horizontal="center" vertical="center" wrapText="1"/>
      <protection locked="0"/>
    </xf>
    <xf numFmtId="9" fontId="68" fillId="0" borderId="20" xfId="0" applyNumberFormat="1" applyFont="1" applyBorder="1" applyAlignment="1" applyProtection="1">
      <alignment horizontal="center" vertical="center" wrapText="1"/>
      <protection locked="0"/>
    </xf>
    <xf numFmtId="0" fontId="65" fillId="0" borderId="23" xfId="2" quotePrefix="1" applyFont="1" applyBorder="1" applyAlignment="1">
      <alignment horizontal="left" vertical="top" wrapText="1"/>
    </xf>
    <xf numFmtId="0" fontId="65" fillId="0" borderId="19" xfId="2" quotePrefix="1" applyFont="1" applyBorder="1" applyAlignment="1">
      <alignment horizontal="left" vertical="top" wrapText="1"/>
    </xf>
    <xf numFmtId="0" fontId="65" fillId="0" borderId="24" xfId="2" quotePrefix="1" applyFont="1" applyBorder="1" applyAlignment="1">
      <alignment horizontal="left" vertical="top" wrapText="1"/>
    </xf>
    <xf numFmtId="0" fontId="65" fillId="0" borderId="25" xfId="2" quotePrefix="1" applyFont="1" applyBorder="1" applyAlignment="1">
      <alignment horizontal="left" vertical="top" wrapText="1"/>
    </xf>
    <xf numFmtId="0" fontId="65" fillId="0" borderId="26" xfId="2" quotePrefix="1" applyFont="1" applyBorder="1" applyAlignment="1">
      <alignment horizontal="left" vertical="top" wrapText="1"/>
    </xf>
    <xf numFmtId="0" fontId="65" fillId="0" borderId="27" xfId="2" quotePrefix="1" applyFont="1" applyBorder="1" applyAlignment="1">
      <alignment horizontal="left" vertical="top" wrapText="1"/>
    </xf>
    <xf numFmtId="0" fontId="47" fillId="2" borderId="40" xfId="2" applyFill="1" applyBorder="1" applyAlignment="1">
      <alignment horizontal="center"/>
    </xf>
    <xf numFmtId="0" fontId="47" fillId="2" borderId="97" xfId="2" applyFill="1" applyBorder="1" applyAlignment="1">
      <alignment horizontal="center"/>
    </xf>
    <xf numFmtId="0" fontId="47" fillId="2" borderId="98" xfId="2" applyFill="1" applyBorder="1" applyAlignment="1">
      <alignment horizontal="center"/>
    </xf>
    <xf numFmtId="0" fontId="47" fillId="2" borderId="0" xfId="2" applyFill="1" applyAlignment="1">
      <alignment horizontal="center"/>
    </xf>
    <xf numFmtId="0" fontId="47" fillId="2" borderId="99" xfId="2" applyFill="1" applyBorder="1" applyAlignment="1">
      <alignment horizontal="center"/>
    </xf>
    <xf numFmtId="0" fontId="47" fillId="2" borderId="100" xfId="2" applyFill="1" applyBorder="1" applyAlignment="1">
      <alignment horizontal="center"/>
    </xf>
    <xf numFmtId="0" fontId="64" fillId="13" borderId="63" xfId="2" applyFont="1" applyFill="1" applyBorder="1" applyAlignment="1">
      <alignment horizontal="center" vertical="center" wrapText="1"/>
    </xf>
    <xf numFmtId="0" fontId="64" fillId="13" borderId="62" xfId="2" applyFont="1" applyFill="1" applyBorder="1" applyAlignment="1">
      <alignment horizontal="center" vertical="center" wrapText="1"/>
    </xf>
    <xf numFmtId="0" fontId="64" fillId="13" borderId="68" xfId="2" applyFont="1" applyFill="1" applyBorder="1" applyAlignment="1">
      <alignment horizontal="center" vertical="center" wrapText="1"/>
    </xf>
    <xf numFmtId="0" fontId="65" fillId="0" borderId="23" xfId="2" quotePrefix="1" applyFont="1" applyBorder="1" applyAlignment="1">
      <alignment vertical="top" wrapText="1"/>
    </xf>
    <xf numFmtId="0" fontId="65" fillId="0" borderId="19" xfId="2" quotePrefix="1" applyFont="1" applyBorder="1" applyAlignment="1">
      <alignment vertical="top" wrapText="1"/>
    </xf>
    <xf numFmtId="0" fontId="65" fillId="0" borderId="24" xfId="2" quotePrefix="1" applyFont="1" applyBorder="1" applyAlignment="1">
      <alignment vertical="top" wrapText="1"/>
    </xf>
    <xf numFmtId="0" fontId="69" fillId="2" borderId="23" xfId="2" quotePrefix="1" applyFont="1" applyFill="1" applyBorder="1" applyAlignment="1">
      <alignment horizontal="center" vertical="top" wrapText="1"/>
    </xf>
    <xf numFmtId="0" fontId="69" fillId="2" borderId="19" xfId="2" quotePrefix="1" applyFont="1" applyFill="1" applyBorder="1" applyAlignment="1">
      <alignment horizontal="center" vertical="top" wrapText="1"/>
    </xf>
    <xf numFmtId="0" fontId="69" fillId="2" borderId="24" xfId="2" quotePrefix="1" applyFont="1" applyFill="1" applyBorder="1" applyAlignment="1">
      <alignment horizontal="center" vertical="top" wrapText="1"/>
    </xf>
    <xf numFmtId="0" fontId="65" fillId="0" borderId="23" xfId="2" quotePrefix="1" applyFont="1" applyBorder="1" applyAlignment="1">
      <alignment horizontal="left" vertical="center" wrapText="1"/>
    </xf>
    <xf numFmtId="0" fontId="65" fillId="0" borderId="24" xfId="2" quotePrefix="1" applyFont="1" applyBorder="1" applyAlignment="1">
      <alignment horizontal="left" vertical="center" wrapText="1"/>
    </xf>
    <xf numFmtId="0" fontId="3" fillId="2" borderId="76" xfId="2" applyFont="1" applyFill="1" applyBorder="1" applyAlignment="1">
      <alignment horizontal="center"/>
    </xf>
    <xf numFmtId="0" fontId="3" fillId="2" borderId="79" xfId="2" applyFont="1" applyFill="1" applyBorder="1" applyAlignment="1">
      <alignment horizontal="center"/>
    </xf>
    <xf numFmtId="0" fontId="64" fillId="13" borderId="89" xfId="3" applyFont="1" applyFill="1" applyBorder="1" applyAlignment="1">
      <alignment horizontal="center" vertical="center" wrapText="1"/>
    </xf>
    <xf numFmtId="0" fontId="64" fillId="13" borderId="90" xfId="3" applyFont="1" applyFill="1" applyBorder="1" applyAlignment="1">
      <alignment horizontal="center" vertical="center" wrapText="1"/>
    </xf>
    <xf numFmtId="0" fontId="64" fillId="13" borderId="90" xfId="2" applyFont="1" applyFill="1" applyBorder="1" applyAlignment="1">
      <alignment horizontal="center" vertical="center"/>
    </xf>
    <xf numFmtId="0" fontId="64" fillId="13" borderId="91" xfId="2" applyFont="1" applyFill="1" applyBorder="1" applyAlignment="1">
      <alignment horizontal="center" vertical="center"/>
    </xf>
    <xf numFmtId="0" fontId="64" fillId="2" borderId="92" xfId="3" applyFont="1" applyFill="1" applyBorder="1" applyAlignment="1">
      <alignment horizontal="left" vertical="top" wrapText="1" readingOrder="1"/>
    </xf>
    <xf numFmtId="0" fontId="64" fillId="2" borderId="19" xfId="3" applyFont="1" applyFill="1" applyBorder="1" applyAlignment="1">
      <alignment horizontal="left" vertical="top" wrapText="1" readingOrder="1"/>
    </xf>
    <xf numFmtId="0" fontId="65" fillId="2" borderId="19" xfId="2" applyFont="1" applyFill="1" applyBorder="1" applyAlignment="1">
      <alignment horizontal="justify" vertical="center" wrapText="1"/>
    </xf>
    <xf numFmtId="0" fontId="65" fillId="2" borderId="93" xfId="2" applyFont="1" applyFill="1" applyBorder="1" applyAlignment="1">
      <alignment horizontal="justify" vertical="center" wrapText="1"/>
    </xf>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5" fillId="2" borderId="19" xfId="2" applyFont="1" applyFill="1" applyBorder="1" applyAlignment="1">
      <alignment horizontal="left" vertical="center" wrapText="1"/>
    </xf>
    <xf numFmtId="0" fontId="65" fillId="2" borderId="93" xfId="2" applyFont="1" applyFill="1" applyBorder="1" applyAlignment="1">
      <alignment horizontal="left" vertical="center" wrapText="1"/>
    </xf>
    <xf numFmtId="0" fontId="64" fillId="2" borderId="92" xfId="0" applyFont="1" applyFill="1" applyBorder="1" applyAlignment="1">
      <alignment horizontal="center" vertical="center" wrapText="1"/>
    </xf>
    <xf numFmtId="0" fontId="65" fillId="2" borderId="95" xfId="2" applyFont="1" applyFill="1" applyBorder="1" applyAlignment="1">
      <alignment horizontal="justify" vertical="center" wrapText="1"/>
    </xf>
    <xf numFmtId="0" fontId="65" fillId="2" borderId="96" xfId="2" applyFont="1" applyFill="1" applyBorder="1" applyAlignment="1">
      <alignment horizontal="justify" vertical="center" wrapText="1"/>
    </xf>
    <xf numFmtId="0" fontId="64" fillId="2" borderId="94" xfId="0" applyFont="1" applyFill="1" applyBorder="1" applyAlignment="1">
      <alignment horizontal="left" vertical="center" wrapText="1"/>
    </xf>
    <xf numFmtId="0" fontId="64" fillId="2" borderId="95" xfId="0" applyFont="1" applyFill="1" applyBorder="1" applyAlignment="1">
      <alignment horizontal="left" vertical="center" wrapText="1"/>
    </xf>
    <xf numFmtId="0" fontId="97" fillId="0" borderId="34" xfId="0" applyFont="1" applyBorder="1" applyAlignment="1">
      <alignment horizontal="center" vertical="center" wrapText="1"/>
    </xf>
    <xf numFmtId="0" fontId="97" fillId="0" borderId="35" xfId="0" applyFont="1" applyBorder="1" applyAlignment="1">
      <alignment horizontal="center" vertical="center"/>
    </xf>
    <xf numFmtId="0" fontId="63" fillId="17" borderId="5" xfId="0" applyFont="1" applyFill="1" applyBorder="1" applyAlignment="1">
      <alignment horizontal="center" vertical="center"/>
    </xf>
    <xf numFmtId="0" fontId="63" fillId="17" borderId="0" xfId="0" applyFont="1" applyFill="1" applyAlignment="1">
      <alignment horizontal="center" vertical="center"/>
    </xf>
    <xf numFmtId="0" fontId="63" fillId="17" borderId="6" xfId="0" applyFont="1" applyFill="1" applyBorder="1" applyAlignment="1">
      <alignment horizontal="center" vertical="center"/>
    </xf>
    <xf numFmtId="0" fontId="63" fillId="12" borderId="5" xfId="6" applyFont="1" applyFill="1" applyBorder="1" applyAlignment="1">
      <alignment horizontal="center" vertical="center" wrapText="1"/>
    </xf>
    <xf numFmtId="0" fontId="63" fillId="12" borderId="0" xfId="6" applyFont="1" applyFill="1" applyAlignment="1">
      <alignment horizontal="center" vertical="center" wrapText="1"/>
    </xf>
    <xf numFmtId="0" fontId="63" fillId="12" borderId="72" xfId="0" applyFont="1" applyFill="1" applyBorder="1" applyAlignment="1">
      <alignment horizontal="center" vertical="center" wrapText="1"/>
    </xf>
    <xf numFmtId="0" fontId="63" fillId="12" borderId="69" xfId="0" applyFont="1" applyFill="1" applyBorder="1" applyAlignment="1">
      <alignment horizontal="center" vertical="center" wrapText="1"/>
    </xf>
    <xf numFmtId="0" fontId="63" fillId="12" borderId="101" xfId="0" applyFont="1" applyFill="1" applyBorder="1" applyAlignment="1">
      <alignment horizontal="center" vertical="center" wrapText="1"/>
    </xf>
    <xf numFmtId="0" fontId="63" fillId="12" borderId="67" xfId="0" applyFont="1" applyFill="1" applyBorder="1" applyAlignment="1">
      <alignment horizontal="center" vertical="center" wrapText="1"/>
    </xf>
    <xf numFmtId="0" fontId="63" fillId="12" borderId="66" xfId="0" applyFont="1" applyFill="1" applyBorder="1" applyAlignment="1">
      <alignment horizontal="center" vertical="center" wrapText="1"/>
    </xf>
    <xf numFmtId="0" fontId="63" fillId="12" borderId="64" xfId="0" applyFont="1" applyFill="1" applyBorder="1" applyAlignment="1">
      <alignment horizontal="center" vertical="center" wrapText="1"/>
    </xf>
    <xf numFmtId="0" fontId="88" fillId="25" borderId="72" xfId="0" applyFont="1" applyFill="1" applyBorder="1" applyAlignment="1">
      <alignment horizontal="center" vertical="center" textRotation="90" wrapText="1"/>
    </xf>
    <xf numFmtId="0" fontId="63" fillId="0" borderId="20" xfId="0" applyFont="1" applyBorder="1" applyAlignment="1" applyProtection="1">
      <alignment horizontal="center" vertical="center"/>
      <protection hidden="1"/>
    </xf>
    <xf numFmtId="0" fontId="68" fillId="0" borderId="19" xfId="0" applyFont="1" applyBorder="1" applyAlignment="1" applyProtection="1">
      <alignment horizontal="center" vertical="center" wrapText="1"/>
      <protection hidden="1"/>
    </xf>
    <xf numFmtId="0" fontId="68" fillId="0" borderId="21" xfId="0" applyFont="1" applyBorder="1" applyAlignment="1">
      <alignment horizontal="center" vertical="center" wrapText="1"/>
    </xf>
    <xf numFmtId="0" fontId="68" fillId="0" borderId="33" xfId="0" applyFont="1" applyBorder="1" applyAlignment="1">
      <alignment horizontal="center" vertical="center" wrapText="1"/>
    </xf>
    <xf numFmtId="0" fontId="0" fillId="0" borderId="89" xfId="0" applyBorder="1" applyAlignment="1">
      <alignment horizontal="center"/>
    </xf>
    <xf numFmtId="0" fontId="0" fillId="0" borderId="92" xfId="0" applyBorder="1" applyAlignment="1">
      <alignment horizontal="center"/>
    </xf>
    <xf numFmtId="0" fontId="0" fillId="0" borderId="94" xfId="0" applyBorder="1" applyAlignment="1">
      <alignment horizontal="center"/>
    </xf>
    <xf numFmtId="0" fontId="66" fillId="20" borderId="21" xfId="0" applyFont="1" applyFill="1" applyBorder="1" applyAlignment="1">
      <alignment horizontal="center" vertical="center" wrapText="1"/>
    </xf>
    <xf numFmtId="0" fontId="66" fillId="20" borderId="22" xfId="0" applyFont="1" applyFill="1" applyBorder="1" applyAlignment="1">
      <alignment horizontal="center" vertical="center" wrapText="1"/>
    </xf>
    <xf numFmtId="0" fontId="63" fillId="0" borderId="21" xfId="0" applyFont="1" applyBorder="1" applyAlignment="1">
      <alignment horizontal="left" vertical="center" wrapText="1"/>
    </xf>
    <xf numFmtId="0" fontId="63" fillId="0" borderId="22" xfId="0" applyFont="1" applyBorder="1" applyAlignment="1">
      <alignment horizontal="left" vertical="center" wrapText="1"/>
    </xf>
    <xf numFmtId="0" fontId="63" fillId="0" borderId="33" xfId="0" applyFont="1" applyBorder="1" applyAlignment="1">
      <alignment horizontal="left" vertical="center" wrapText="1"/>
    </xf>
    <xf numFmtId="0" fontId="63" fillId="20" borderId="21" xfId="0" applyFont="1" applyFill="1" applyBorder="1" applyAlignment="1">
      <alignment horizontal="center" vertical="center" wrapText="1"/>
    </xf>
    <xf numFmtId="0" fontId="63" fillId="20" borderId="33" xfId="0" applyFont="1" applyFill="1" applyBorder="1" applyAlignment="1">
      <alignment horizontal="center" vertical="center" wrapText="1"/>
    </xf>
    <xf numFmtId="0" fontId="63" fillId="0" borderId="21" xfId="0" applyFont="1" applyBorder="1" applyAlignment="1">
      <alignment horizontal="center" vertical="center" wrapText="1"/>
    </xf>
    <xf numFmtId="0" fontId="63" fillId="0" borderId="33" xfId="0" applyFont="1" applyBorder="1" applyAlignment="1">
      <alignment horizontal="center" vertical="center" wrapText="1"/>
    </xf>
    <xf numFmtId="0" fontId="64" fillId="0" borderId="76" xfId="0" applyFont="1" applyBorder="1" applyAlignment="1">
      <alignment horizontal="center"/>
    </xf>
    <xf numFmtId="0" fontId="64" fillId="0" borderId="78" xfId="0" applyFont="1" applyBorder="1" applyAlignment="1">
      <alignment horizontal="center"/>
    </xf>
    <xf numFmtId="0" fontId="26" fillId="0" borderId="0" xfId="0" applyFont="1" applyAlignment="1">
      <alignment horizontal="center" vertical="center" wrapText="1"/>
    </xf>
    <xf numFmtId="0" fontId="21" fillId="4" borderId="5" xfId="0" applyFont="1" applyFill="1" applyBorder="1" applyAlignment="1" applyProtection="1">
      <alignment horizontal="center" wrapText="1" readingOrder="1"/>
      <protection hidden="1"/>
    </xf>
    <xf numFmtId="0" fontId="21" fillId="4" borderId="0" xfId="0" applyFont="1" applyFill="1" applyAlignment="1" applyProtection="1">
      <alignment horizontal="center" wrapText="1" readingOrder="1"/>
      <protection hidden="1"/>
    </xf>
    <xf numFmtId="0" fontId="21" fillId="4" borderId="6" xfId="0" applyFont="1" applyFill="1" applyBorder="1" applyAlignment="1" applyProtection="1">
      <alignment horizontal="center" wrapText="1" readingOrder="1"/>
      <protection hidden="1"/>
    </xf>
    <xf numFmtId="0" fontId="21" fillId="4" borderId="7" xfId="0" applyFont="1" applyFill="1" applyBorder="1" applyAlignment="1" applyProtection="1">
      <alignment horizontal="center" wrapText="1" readingOrder="1"/>
      <protection hidden="1"/>
    </xf>
    <xf numFmtId="0" fontId="21" fillId="4" borderId="9" xfId="0" applyFont="1" applyFill="1" applyBorder="1" applyAlignment="1" applyProtection="1">
      <alignment horizontal="center" wrapText="1" readingOrder="1"/>
      <protection hidden="1"/>
    </xf>
    <xf numFmtId="0" fontId="21" fillId="4" borderId="8" xfId="0" applyFont="1" applyFill="1" applyBorder="1" applyAlignment="1" applyProtection="1">
      <alignment horizontal="center" wrapText="1" readingOrder="1"/>
      <protection hidden="1"/>
    </xf>
    <xf numFmtId="0" fontId="21" fillId="4" borderId="3" xfId="0" applyFont="1" applyFill="1" applyBorder="1" applyAlignment="1" applyProtection="1">
      <alignment horizontal="center" wrapText="1" readingOrder="1"/>
      <protection hidden="1"/>
    </xf>
    <xf numFmtId="0" fontId="21" fillId="4" borderId="10" xfId="0" applyFont="1" applyFill="1" applyBorder="1" applyAlignment="1" applyProtection="1">
      <alignment horizontal="center" wrapText="1" readingOrder="1"/>
      <protection hidden="1"/>
    </xf>
    <xf numFmtId="0" fontId="21" fillId="4" borderId="4" xfId="0" applyFont="1" applyFill="1" applyBorder="1" applyAlignment="1" applyProtection="1">
      <alignment horizontal="center" wrapText="1" readingOrder="1"/>
      <protection hidden="1"/>
    </xf>
    <xf numFmtId="0" fontId="21" fillId="12" borderId="5"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6" xfId="0" applyFont="1" applyFill="1" applyBorder="1" applyAlignment="1" applyProtection="1">
      <alignment horizontal="center" wrapText="1" readingOrder="1"/>
      <protection hidden="1"/>
    </xf>
    <xf numFmtId="0" fontId="21" fillId="12" borderId="7" xfId="0" applyFont="1" applyFill="1" applyBorder="1" applyAlignment="1" applyProtection="1">
      <alignment horizontal="center" wrapText="1" readingOrder="1"/>
      <protection hidden="1"/>
    </xf>
    <xf numFmtId="0" fontId="21" fillId="12" borderId="9" xfId="0" applyFont="1" applyFill="1" applyBorder="1" applyAlignment="1" applyProtection="1">
      <alignment horizontal="center" wrapText="1" readingOrder="1"/>
      <protection hidden="1"/>
    </xf>
    <xf numFmtId="0" fontId="21" fillId="12" borderId="8" xfId="0" applyFont="1" applyFill="1" applyBorder="1" applyAlignment="1" applyProtection="1">
      <alignment horizontal="center" wrapText="1" readingOrder="1"/>
      <protection hidden="1"/>
    </xf>
    <xf numFmtId="0" fontId="21" fillId="12" borderId="3" xfId="0" applyFont="1" applyFill="1" applyBorder="1" applyAlignment="1" applyProtection="1">
      <alignment horizontal="center" wrapText="1" readingOrder="1"/>
      <protection hidden="1"/>
    </xf>
    <xf numFmtId="0" fontId="21" fillId="12" borderId="10" xfId="0" applyFont="1" applyFill="1" applyBorder="1" applyAlignment="1" applyProtection="1">
      <alignment horizontal="center" wrapText="1" readingOrder="1"/>
      <protection hidden="1"/>
    </xf>
    <xf numFmtId="0" fontId="21" fillId="12" borderId="4" xfId="0" applyFont="1" applyFill="1" applyBorder="1" applyAlignment="1" applyProtection="1">
      <alignment horizontal="center" wrapText="1" readingOrder="1"/>
      <protection hidden="1"/>
    </xf>
    <xf numFmtId="0" fontId="21" fillId="11" borderId="5" xfId="0" applyFont="1" applyFill="1" applyBorder="1" applyAlignment="1" applyProtection="1">
      <alignment horizontal="center" wrapText="1" readingOrder="1"/>
      <protection hidden="1"/>
    </xf>
    <xf numFmtId="0" fontId="21" fillId="11" borderId="0" xfId="0" applyFont="1" applyFill="1" applyAlignment="1" applyProtection="1">
      <alignment horizontal="center" wrapText="1" readingOrder="1"/>
      <protection hidden="1"/>
    </xf>
    <xf numFmtId="0" fontId="21" fillId="11" borderId="6" xfId="0" applyFont="1" applyFill="1" applyBorder="1" applyAlignment="1" applyProtection="1">
      <alignment horizontal="center" wrapText="1" readingOrder="1"/>
      <protection hidden="1"/>
    </xf>
    <xf numFmtId="0" fontId="21" fillId="11" borderId="7" xfId="0" applyFont="1" applyFill="1" applyBorder="1" applyAlignment="1" applyProtection="1">
      <alignment horizontal="center" wrapText="1" readingOrder="1"/>
      <protection hidden="1"/>
    </xf>
    <xf numFmtId="0" fontId="21" fillId="11" borderId="9" xfId="0" applyFont="1" applyFill="1" applyBorder="1" applyAlignment="1" applyProtection="1">
      <alignment horizontal="center" wrapText="1" readingOrder="1"/>
      <protection hidden="1"/>
    </xf>
    <xf numFmtId="0" fontId="21" fillId="11" borderId="8" xfId="0" applyFont="1" applyFill="1" applyBorder="1" applyAlignment="1" applyProtection="1">
      <alignment horizontal="center" wrapText="1" readingOrder="1"/>
      <protection hidden="1"/>
    </xf>
    <xf numFmtId="0" fontId="21" fillId="11" borderId="3" xfId="0" applyFont="1" applyFill="1" applyBorder="1" applyAlignment="1" applyProtection="1">
      <alignment horizontal="center" wrapText="1" readingOrder="1"/>
      <protection hidden="1"/>
    </xf>
    <xf numFmtId="0" fontId="21" fillId="11" borderId="10" xfId="0" applyFont="1" applyFill="1" applyBorder="1" applyAlignment="1" applyProtection="1">
      <alignment horizontal="center" wrapText="1" readingOrder="1"/>
      <protection hidden="1"/>
    </xf>
    <xf numFmtId="0" fontId="21" fillId="11" borderId="4" xfId="0" applyFont="1" applyFill="1" applyBorder="1" applyAlignment="1" applyProtection="1">
      <alignment horizontal="center" wrapText="1" readingOrder="1"/>
      <protection hidden="1"/>
    </xf>
    <xf numFmtId="0" fontId="21" fillId="10" borderId="5" xfId="0" applyFont="1" applyFill="1" applyBorder="1" applyAlignment="1" applyProtection="1">
      <alignment horizontal="center" vertical="center" wrapText="1" readingOrder="1"/>
      <protection hidden="1"/>
    </xf>
    <xf numFmtId="0" fontId="21" fillId="10" borderId="0" xfId="0" applyFont="1" applyFill="1" applyAlignment="1" applyProtection="1">
      <alignment horizontal="center" vertical="center" wrapText="1" readingOrder="1"/>
      <protection hidden="1"/>
    </xf>
    <xf numFmtId="0" fontId="21" fillId="10" borderId="6" xfId="0" applyFont="1" applyFill="1" applyBorder="1" applyAlignment="1" applyProtection="1">
      <alignment horizontal="center" vertical="center" wrapText="1" readingOrder="1"/>
      <protection hidden="1"/>
    </xf>
    <xf numFmtId="0" fontId="21" fillId="10" borderId="7" xfId="0" applyFont="1" applyFill="1" applyBorder="1" applyAlignment="1" applyProtection="1">
      <alignment horizontal="center" vertical="center" wrapText="1" readingOrder="1"/>
      <protection hidden="1"/>
    </xf>
    <xf numFmtId="0" fontId="21" fillId="10" borderId="9" xfId="0" applyFont="1" applyFill="1" applyBorder="1" applyAlignment="1" applyProtection="1">
      <alignment horizontal="center" vertical="center" wrapText="1" readingOrder="1"/>
      <protection hidden="1"/>
    </xf>
    <xf numFmtId="0" fontId="21" fillId="10" borderId="8" xfId="0" applyFont="1" applyFill="1" applyBorder="1" applyAlignment="1" applyProtection="1">
      <alignment horizontal="center" vertical="center" wrapText="1" readingOrder="1"/>
      <protection hidden="1"/>
    </xf>
    <xf numFmtId="0" fontId="21" fillId="10" borderId="3" xfId="0" applyFont="1" applyFill="1" applyBorder="1" applyAlignment="1" applyProtection="1">
      <alignment horizontal="center" vertical="center" wrapText="1" readingOrder="1"/>
      <protection hidden="1"/>
    </xf>
    <xf numFmtId="0" fontId="21" fillId="10" borderId="10" xfId="0" applyFont="1" applyFill="1" applyBorder="1" applyAlignment="1" applyProtection="1">
      <alignment horizontal="center" vertical="center" wrapText="1" readingOrder="1"/>
      <protection hidden="1"/>
    </xf>
    <xf numFmtId="0" fontId="21" fillId="10" borderId="4" xfId="0" applyFont="1" applyFill="1" applyBorder="1" applyAlignment="1" applyProtection="1">
      <alignment horizontal="center" vertical="center" wrapText="1" readingOrder="1"/>
      <protection hidden="1"/>
    </xf>
    <xf numFmtId="0" fontId="19" fillId="9" borderId="0" xfId="0" applyFont="1" applyFill="1" applyAlignment="1">
      <alignment horizontal="center" vertical="center" wrapText="1" readingOrder="1"/>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0" xfId="0" applyFont="1" applyAlignment="1">
      <alignment horizontal="center" vertical="center"/>
    </xf>
    <xf numFmtId="0" fontId="18" fillId="0" borderId="6" xfId="0" applyFont="1" applyBorder="1" applyAlignment="1">
      <alignment horizontal="center"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8" fillId="0" borderId="10" xfId="0" applyFont="1" applyBorder="1" applyAlignment="1">
      <alignment horizontal="center" vertical="center" wrapText="1"/>
    </xf>
    <xf numFmtId="0" fontId="19" fillId="9" borderId="0" xfId="0" applyFont="1" applyFill="1" applyAlignment="1">
      <alignment horizontal="center" vertical="center" textRotation="90" wrapText="1" readingOrder="1"/>
    </xf>
    <xf numFmtId="0" fontId="19" fillId="9" borderId="6" xfId="0" applyFont="1" applyFill="1" applyBorder="1" applyAlignment="1">
      <alignment horizontal="center" vertical="center" textRotation="90" wrapText="1" readingOrder="1"/>
    </xf>
    <xf numFmtId="0" fontId="22" fillId="11" borderId="11" xfId="0" applyFont="1" applyFill="1" applyBorder="1" applyAlignment="1">
      <alignment horizontal="center" vertical="center" wrapText="1" readingOrder="1"/>
    </xf>
    <xf numFmtId="0" fontId="22" fillId="11" borderId="12" xfId="0" applyFont="1" applyFill="1" applyBorder="1" applyAlignment="1">
      <alignment horizontal="center" vertical="center" wrapText="1" readingOrder="1"/>
    </xf>
    <xf numFmtId="0" fontId="22" fillId="11" borderId="13" xfId="0" applyFont="1" applyFill="1" applyBorder="1" applyAlignment="1">
      <alignment horizontal="center" vertical="center" wrapText="1" readingOrder="1"/>
    </xf>
    <xf numFmtId="0" fontId="22" fillId="11" borderId="14"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15" xfId="0" applyFont="1" applyFill="1" applyBorder="1" applyAlignment="1">
      <alignment horizontal="center" vertical="center" wrapText="1" readingOrder="1"/>
    </xf>
    <xf numFmtId="0" fontId="22" fillId="11" borderId="16" xfId="0" applyFont="1" applyFill="1" applyBorder="1" applyAlignment="1">
      <alignment horizontal="center" vertical="center" wrapText="1" readingOrder="1"/>
    </xf>
    <xf numFmtId="0" fontId="22" fillId="11" borderId="17" xfId="0" applyFont="1" applyFill="1" applyBorder="1" applyAlignment="1">
      <alignment horizontal="center" vertical="center" wrapText="1" readingOrder="1"/>
    </xf>
    <xf numFmtId="0" fontId="22" fillId="11" borderId="18" xfId="0" applyFont="1" applyFill="1" applyBorder="1" applyAlignment="1">
      <alignment horizontal="center" vertical="center" wrapText="1" readingOrder="1"/>
    </xf>
    <xf numFmtId="0" fontId="22" fillId="10" borderId="11" xfId="0" applyFont="1" applyFill="1" applyBorder="1" applyAlignment="1">
      <alignment horizontal="center" vertical="center" wrapText="1" readingOrder="1"/>
    </xf>
    <xf numFmtId="0" fontId="22" fillId="10" borderId="12" xfId="0" applyFont="1" applyFill="1" applyBorder="1" applyAlignment="1">
      <alignment horizontal="center" vertical="center" wrapText="1" readingOrder="1"/>
    </xf>
    <xf numFmtId="0" fontId="22" fillId="10" borderId="13" xfId="0" applyFont="1" applyFill="1" applyBorder="1" applyAlignment="1">
      <alignment horizontal="center" vertical="center" wrapText="1" readingOrder="1"/>
    </xf>
    <xf numFmtId="0" fontId="22" fillId="10" borderId="14" xfId="0" applyFont="1" applyFill="1" applyBorder="1" applyAlignment="1">
      <alignment horizontal="center" vertical="center" wrapText="1" readingOrder="1"/>
    </xf>
    <xf numFmtId="0" fontId="22" fillId="10" borderId="0" xfId="0" applyFont="1" applyFill="1" applyAlignment="1">
      <alignment horizontal="center" vertical="center" wrapText="1" readingOrder="1"/>
    </xf>
    <xf numFmtId="0" fontId="22" fillId="10" borderId="15" xfId="0" applyFont="1" applyFill="1" applyBorder="1" applyAlignment="1">
      <alignment horizontal="center" vertical="center" wrapText="1" readingOrder="1"/>
    </xf>
    <xf numFmtId="0" fontId="22" fillId="10" borderId="16" xfId="0" applyFont="1" applyFill="1" applyBorder="1" applyAlignment="1">
      <alignment horizontal="center" vertical="center" wrapText="1" readingOrder="1"/>
    </xf>
    <xf numFmtId="0" fontId="22" fillId="10" borderId="17" xfId="0" applyFont="1" applyFill="1" applyBorder="1" applyAlignment="1">
      <alignment horizontal="center" vertical="center" wrapText="1" readingOrder="1"/>
    </xf>
    <xf numFmtId="0" fontId="22" fillId="10" borderId="18" xfId="0" applyFont="1" applyFill="1" applyBorder="1" applyAlignment="1">
      <alignment horizontal="center" vertical="center" wrapText="1" readingOrder="1"/>
    </xf>
    <xf numFmtId="0" fontId="22" fillId="12" borderId="11" xfId="0" applyFont="1" applyFill="1" applyBorder="1" applyAlignment="1">
      <alignment horizontal="center" vertical="center" wrapText="1" readingOrder="1"/>
    </xf>
    <xf numFmtId="0" fontId="22" fillId="12" borderId="12" xfId="0" applyFont="1" applyFill="1" applyBorder="1" applyAlignment="1">
      <alignment horizontal="center" vertical="center" wrapText="1" readingOrder="1"/>
    </xf>
    <xf numFmtId="0" fontId="22" fillId="12" borderId="13" xfId="0" applyFont="1" applyFill="1" applyBorder="1" applyAlignment="1">
      <alignment horizontal="center" vertical="center" wrapText="1" readingOrder="1"/>
    </xf>
    <xf numFmtId="0" fontId="22" fillId="12" borderId="14"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15" xfId="0" applyFont="1" applyFill="1" applyBorder="1" applyAlignment="1">
      <alignment horizontal="center" vertical="center" wrapText="1" readingOrder="1"/>
    </xf>
    <xf numFmtId="0" fontId="22" fillId="12" borderId="16" xfId="0" applyFont="1" applyFill="1" applyBorder="1" applyAlignment="1">
      <alignment horizontal="center" vertical="center" wrapText="1" readingOrder="1"/>
    </xf>
    <xf numFmtId="0" fontId="22" fillId="12" borderId="17" xfId="0" applyFont="1" applyFill="1" applyBorder="1" applyAlignment="1">
      <alignment horizontal="center" vertical="center" wrapText="1" readingOrder="1"/>
    </xf>
    <xf numFmtId="0" fontId="22" fillId="12" borderId="18" xfId="0" applyFont="1" applyFill="1" applyBorder="1" applyAlignment="1">
      <alignment horizontal="center" vertical="center" wrapText="1" readingOrder="1"/>
    </xf>
    <xf numFmtId="0" fontId="22" fillId="4" borderId="11" xfId="0" applyFont="1" applyFill="1" applyBorder="1" applyAlignment="1">
      <alignment horizontal="center" vertical="center" wrapText="1" readingOrder="1"/>
    </xf>
    <xf numFmtId="0" fontId="22" fillId="4" borderId="12" xfId="0" applyFont="1" applyFill="1" applyBorder="1" applyAlignment="1">
      <alignment horizontal="center" vertical="center" wrapText="1" readingOrder="1"/>
    </xf>
    <xf numFmtId="0" fontId="22" fillId="4" borderId="13" xfId="0" applyFont="1" applyFill="1" applyBorder="1" applyAlignment="1">
      <alignment horizontal="center" vertical="center" wrapText="1" readingOrder="1"/>
    </xf>
    <xf numFmtId="0" fontId="22" fillId="4" borderId="14" xfId="0" applyFont="1" applyFill="1" applyBorder="1" applyAlignment="1">
      <alignment horizontal="center" vertical="center" wrapText="1" readingOrder="1"/>
    </xf>
    <xf numFmtId="0" fontId="22" fillId="4" borderId="0" xfId="0" applyFont="1" applyFill="1" applyAlignment="1">
      <alignment horizontal="center" vertical="center" wrapText="1" readingOrder="1"/>
    </xf>
    <xf numFmtId="0" fontId="22" fillId="4" borderId="15" xfId="0" applyFont="1" applyFill="1" applyBorder="1" applyAlignment="1">
      <alignment horizontal="center" vertical="center" wrapText="1" readingOrder="1"/>
    </xf>
    <xf numFmtId="0" fontId="22" fillId="4" borderId="16" xfId="0" applyFont="1" applyFill="1" applyBorder="1" applyAlignment="1">
      <alignment horizontal="center" vertical="center" wrapText="1" readingOrder="1"/>
    </xf>
    <xf numFmtId="0" fontId="22" fillId="4" borderId="17" xfId="0" applyFont="1" applyFill="1" applyBorder="1" applyAlignment="1">
      <alignment horizontal="center" vertical="center" wrapText="1" readingOrder="1"/>
    </xf>
    <xf numFmtId="0" fontId="22" fillId="4" borderId="18" xfId="0" applyFont="1" applyFill="1" applyBorder="1" applyAlignment="1">
      <alignment horizontal="center" vertical="center" wrapText="1" readingOrder="1"/>
    </xf>
    <xf numFmtId="0" fontId="43" fillId="0" borderId="3" xfId="0" applyFont="1" applyBorder="1" applyAlignment="1">
      <alignment horizontal="center" vertical="center" wrapText="1"/>
    </xf>
    <xf numFmtId="0" fontId="43" fillId="0" borderId="10" xfId="0" applyFont="1" applyBorder="1" applyAlignment="1">
      <alignment horizontal="center" vertical="center"/>
    </xf>
    <xf numFmtId="0" fontId="43" fillId="0" borderId="4" xfId="0" applyFont="1" applyBorder="1" applyAlignment="1">
      <alignment horizontal="center" vertical="center"/>
    </xf>
    <xf numFmtId="0" fontId="43" fillId="0" borderId="5" xfId="0" applyFont="1" applyBorder="1" applyAlignment="1">
      <alignment horizontal="center" vertical="center"/>
    </xf>
    <xf numFmtId="0" fontId="43" fillId="0" borderId="0" xfId="0" applyFont="1" applyAlignment="1">
      <alignment horizontal="center" vertical="center"/>
    </xf>
    <xf numFmtId="0" fontId="43" fillId="0" borderId="6" xfId="0" applyFont="1" applyBorder="1" applyAlignment="1">
      <alignment horizontal="center" vertical="center"/>
    </xf>
    <xf numFmtId="0" fontId="43" fillId="0" borderId="7" xfId="0" applyFont="1" applyBorder="1" applyAlignment="1">
      <alignment horizontal="center" vertical="center"/>
    </xf>
    <xf numFmtId="0" fontId="43" fillId="0" borderId="9" xfId="0" applyFont="1" applyBorder="1" applyAlignment="1">
      <alignment horizontal="center" vertical="center"/>
    </xf>
    <xf numFmtId="0" fontId="43" fillId="0" borderId="8" xfId="0" applyFont="1" applyBorder="1" applyAlignment="1">
      <alignment horizontal="center" vertical="center"/>
    </xf>
    <xf numFmtId="0" fontId="43" fillId="0" borderId="10" xfId="0" applyFont="1" applyBorder="1" applyAlignment="1">
      <alignment horizontal="center" vertical="center" wrapText="1"/>
    </xf>
    <xf numFmtId="0" fontId="42" fillId="10" borderId="11" xfId="0" applyFont="1" applyFill="1" applyBorder="1" applyAlignment="1">
      <alignment horizontal="center" vertical="center" wrapText="1" readingOrder="1"/>
    </xf>
    <xf numFmtId="0" fontId="42" fillId="10" borderId="12" xfId="0" applyFont="1" applyFill="1" applyBorder="1" applyAlignment="1">
      <alignment horizontal="center" vertical="center" wrapText="1" readingOrder="1"/>
    </xf>
    <xf numFmtId="0" fontId="42" fillId="10" borderId="13" xfId="0" applyFont="1" applyFill="1" applyBorder="1" applyAlignment="1">
      <alignment horizontal="center" vertical="center" wrapText="1" readingOrder="1"/>
    </xf>
    <xf numFmtId="0" fontId="42" fillId="10" borderId="14" xfId="0" applyFont="1" applyFill="1" applyBorder="1" applyAlignment="1">
      <alignment horizontal="center" vertical="center" wrapText="1" readingOrder="1"/>
    </xf>
    <xf numFmtId="0" fontId="42" fillId="10" borderId="0" xfId="0" applyFont="1" applyFill="1" applyAlignment="1">
      <alignment horizontal="center" vertical="center" wrapText="1" readingOrder="1"/>
    </xf>
    <xf numFmtId="0" fontId="42" fillId="10" borderId="15" xfId="0" applyFont="1" applyFill="1" applyBorder="1" applyAlignment="1">
      <alignment horizontal="center" vertical="center" wrapText="1" readingOrder="1"/>
    </xf>
    <xf numFmtId="0" fontId="42" fillId="10" borderId="16" xfId="0" applyFont="1" applyFill="1" applyBorder="1" applyAlignment="1">
      <alignment horizontal="center" vertical="center" wrapText="1" readingOrder="1"/>
    </xf>
    <xf numFmtId="0" fontId="42" fillId="10" borderId="17" xfId="0" applyFont="1" applyFill="1" applyBorder="1" applyAlignment="1">
      <alignment horizontal="center" vertical="center" wrapText="1" readingOrder="1"/>
    </xf>
    <xf numFmtId="0" fontId="42" fillId="10" borderId="18" xfId="0" applyFont="1" applyFill="1" applyBorder="1" applyAlignment="1">
      <alignment horizontal="center" vertical="center" wrapText="1" readingOrder="1"/>
    </xf>
    <xf numFmtId="0" fontId="43" fillId="0" borderId="5" xfId="0" applyFont="1" applyBorder="1" applyAlignment="1">
      <alignment horizontal="center" vertical="center" wrapText="1"/>
    </xf>
    <xf numFmtId="0" fontId="42" fillId="11" borderId="11" xfId="0" applyFont="1" applyFill="1" applyBorder="1" applyAlignment="1">
      <alignment horizontal="center" vertical="center" wrapText="1" readingOrder="1"/>
    </xf>
    <xf numFmtId="0" fontId="42" fillId="11" borderId="12" xfId="0" applyFont="1" applyFill="1" applyBorder="1" applyAlignment="1">
      <alignment horizontal="center" vertical="center" wrapText="1" readingOrder="1"/>
    </xf>
    <xf numFmtId="0" fontId="42" fillId="11" borderId="13" xfId="0" applyFont="1" applyFill="1" applyBorder="1" applyAlignment="1">
      <alignment horizontal="center" vertical="center" wrapText="1" readingOrder="1"/>
    </xf>
    <xf numFmtId="0" fontId="42" fillId="11" borderId="14" xfId="0" applyFont="1" applyFill="1" applyBorder="1" applyAlignment="1">
      <alignment horizontal="center" vertical="center" wrapText="1" readingOrder="1"/>
    </xf>
    <xf numFmtId="0" fontId="42" fillId="11" borderId="0" xfId="0" applyFont="1" applyFill="1" applyAlignment="1">
      <alignment horizontal="center" vertical="center" wrapText="1" readingOrder="1"/>
    </xf>
    <xf numFmtId="0" fontId="42" fillId="11" borderId="15" xfId="0" applyFont="1" applyFill="1" applyBorder="1" applyAlignment="1">
      <alignment horizontal="center" vertical="center" wrapText="1" readingOrder="1"/>
    </xf>
    <xf numFmtId="0" fontId="42" fillId="11" borderId="16" xfId="0" applyFont="1" applyFill="1" applyBorder="1" applyAlignment="1">
      <alignment horizontal="center" vertical="center" wrapText="1" readingOrder="1"/>
    </xf>
    <xf numFmtId="0" fontId="42" fillId="11" borderId="17" xfId="0" applyFont="1" applyFill="1" applyBorder="1" applyAlignment="1">
      <alignment horizontal="center" vertical="center" wrapText="1" readingOrder="1"/>
    </xf>
    <xf numFmtId="0" fontId="42" fillId="11" borderId="18" xfId="0" applyFont="1" applyFill="1" applyBorder="1" applyAlignment="1">
      <alignment horizontal="center" vertical="center" wrapText="1" readingOrder="1"/>
    </xf>
    <xf numFmtId="0" fontId="41" fillId="0" borderId="0" xfId="0" applyFont="1" applyAlignment="1">
      <alignment horizontal="center" vertical="center" wrapText="1"/>
    </xf>
    <xf numFmtId="0" fontId="23" fillId="0" borderId="0" xfId="0" applyFont="1" applyAlignment="1">
      <alignment horizontal="center" vertical="center" wrapText="1"/>
    </xf>
    <xf numFmtId="0" fontId="42" fillId="4" borderId="11" xfId="0" applyFont="1" applyFill="1" applyBorder="1" applyAlignment="1">
      <alignment horizontal="center" vertical="center" wrapText="1" readingOrder="1"/>
    </xf>
    <xf numFmtId="0" fontId="42" fillId="4" borderId="12" xfId="0" applyFont="1" applyFill="1" applyBorder="1" applyAlignment="1">
      <alignment horizontal="center" vertical="center" wrapText="1" readingOrder="1"/>
    </xf>
    <xf numFmtId="0" fontId="42" fillId="4" borderId="13" xfId="0" applyFont="1" applyFill="1" applyBorder="1" applyAlignment="1">
      <alignment horizontal="center" vertical="center" wrapText="1" readingOrder="1"/>
    </xf>
    <xf numFmtId="0" fontId="42" fillId="4" borderId="14" xfId="0" applyFont="1" applyFill="1" applyBorder="1" applyAlignment="1">
      <alignment horizontal="center" vertical="center" wrapText="1" readingOrder="1"/>
    </xf>
    <xf numFmtId="0" fontId="42" fillId="4" borderId="0" xfId="0" applyFont="1" applyFill="1" applyAlignment="1">
      <alignment horizontal="center" vertical="center" wrapText="1" readingOrder="1"/>
    </xf>
    <xf numFmtId="0" fontId="42" fillId="4" borderId="15" xfId="0" applyFont="1" applyFill="1" applyBorder="1" applyAlignment="1">
      <alignment horizontal="center" vertical="center" wrapText="1" readingOrder="1"/>
    </xf>
    <xf numFmtId="0" fontId="42" fillId="4" borderId="16" xfId="0" applyFont="1" applyFill="1" applyBorder="1" applyAlignment="1">
      <alignment horizontal="center" vertical="center" wrapText="1" readingOrder="1"/>
    </xf>
    <xf numFmtId="0" fontId="42" fillId="4" borderId="17" xfId="0" applyFont="1" applyFill="1" applyBorder="1" applyAlignment="1">
      <alignment horizontal="center" vertical="center" wrapText="1" readingOrder="1"/>
    </xf>
    <xf numFmtId="0" fontId="42" fillId="4" borderId="18" xfId="0" applyFont="1" applyFill="1" applyBorder="1" applyAlignment="1">
      <alignment horizontal="center" vertical="center" wrapText="1" readingOrder="1"/>
    </xf>
    <xf numFmtId="0" fontId="42" fillId="12" borderId="11" xfId="0" applyFont="1" applyFill="1" applyBorder="1" applyAlignment="1">
      <alignment horizontal="center" vertical="center" wrapText="1" readingOrder="1"/>
    </xf>
    <xf numFmtId="0" fontId="42" fillId="12" borderId="12" xfId="0" applyFont="1" applyFill="1" applyBorder="1" applyAlignment="1">
      <alignment horizontal="center" vertical="center" wrapText="1" readingOrder="1"/>
    </xf>
    <xf numFmtId="0" fontId="42" fillId="12" borderId="13" xfId="0" applyFont="1" applyFill="1" applyBorder="1" applyAlignment="1">
      <alignment horizontal="center" vertical="center" wrapText="1" readingOrder="1"/>
    </xf>
    <xf numFmtId="0" fontId="42" fillId="12" borderId="14" xfId="0" applyFont="1" applyFill="1" applyBorder="1" applyAlignment="1">
      <alignment horizontal="center" vertical="center" wrapText="1" readingOrder="1"/>
    </xf>
    <xf numFmtId="0" fontId="42" fillId="12" borderId="0" xfId="0" applyFont="1" applyFill="1" applyAlignment="1">
      <alignment horizontal="center" vertical="center" wrapText="1" readingOrder="1"/>
    </xf>
    <xf numFmtId="0" fontId="42" fillId="12" borderId="15" xfId="0" applyFont="1" applyFill="1" applyBorder="1" applyAlignment="1">
      <alignment horizontal="center" vertical="center" wrapText="1" readingOrder="1"/>
    </xf>
    <xf numFmtId="0" fontId="42" fillId="12" borderId="16" xfId="0" applyFont="1" applyFill="1" applyBorder="1" applyAlignment="1">
      <alignment horizontal="center" vertical="center" wrapText="1" readingOrder="1"/>
    </xf>
    <xf numFmtId="0" fontId="42" fillId="12" borderId="17" xfId="0" applyFont="1" applyFill="1" applyBorder="1" applyAlignment="1">
      <alignment horizontal="center" vertical="center" wrapText="1" readingOrder="1"/>
    </xf>
    <xf numFmtId="0" fontId="42" fillId="12" borderId="18" xfId="0" applyFont="1" applyFill="1" applyBorder="1" applyAlignment="1">
      <alignment horizontal="center" vertical="center" wrapText="1" readingOrder="1"/>
    </xf>
    <xf numFmtId="0" fontId="25" fillId="0" borderId="0" xfId="0" applyFont="1" applyAlignment="1">
      <alignment horizontal="center" vertical="center"/>
    </xf>
    <xf numFmtId="0" fontId="45" fillId="0" borderId="0" xfId="0" applyFont="1" applyAlignment="1">
      <alignment horizontal="center" vertical="center"/>
    </xf>
    <xf numFmtId="0" fontId="40" fillId="14" borderId="21" xfId="0" applyFont="1" applyFill="1" applyBorder="1" applyAlignment="1">
      <alignment horizontal="center" vertical="center" wrapText="1" readingOrder="1"/>
    </xf>
    <xf numFmtId="0" fontId="40" fillId="14" borderId="22" xfId="0" applyFont="1" applyFill="1" applyBorder="1" applyAlignment="1">
      <alignment horizontal="center" vertical="center" wrapText="1" readingOrder="1"/>
    </xf>
    <xf numFmtId="0" fontId="40" fillId="14" borderId="33" xfId="0" applyFont="1" applyFill="1" applyBorder="1" applyAlignment="1">
      <alignment horizontal="center" vertical="center" wrapText="1" readingOrder="1"/>
    </xf>
    <xf numFmtId="0" fontId="35" fillId="2" borderId="0" xfId="0" applyFont="1" applyFill="1" applyAlignment="1">
      <alignment horizontal="justify" vertical="center" wrapText="1"/>
    </xf>
    <xf numFmtId="0" fontId="37" fillId="14" borderId="30" xfId="0" applyFont="1" applyFill="1" applyBorder="1" applyAlignment="1">
      <alignment horizontal="center" vertical="center" wrapText="1" readingOrder="1"/>
    </xf>
    <xf numFmtId="0" fontId="37" fillId="14" borderId="31" xfId="0" applyFont="1" applyFill="1" applyBorder="1" applyAlignment="1">
      <alignment horizontal="center" vertical="center" wrapText="1" readingOrder="1"/>
    </xf>
    <xf numFmtId="0" fontId="37" fillId="2" borderId="28" xfId="0" applyFont="1" applyFill="1" applyBorder="1" applyAlignment="1">
      <alignment horizontal="center" vertical="center" wrapText="1" readingOrder="1"/>
    </xf>
    <xf numFmtId="0" fontId="37" fillId="2" borderId="23" xfId="0" applyFont="1" applyFill="1" applyBorder="1" applyAlignment="1">
      <alignment horizontal="center" vertical="center" wrapText="1" readingOrder="1"/>
    </xf>
    <xf numFmtId="0" fontId="37" fillId="2" borderId="20" xfId="0"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7" fillId="2" borderId="25"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71" fillId="0" borderId="19" xfId="0" applyFont="1" applyBorder="1" applyAlignment="1">
      <alignment horizontal="center" vertical="center"/>
    </xf>
    <xf numFmtId="0" fontId="71" fillId="0" borderId="19" xfId="0" applyFont="1" applyBorder="1" applyAlignment="1">
      <alignment horizontal="center" vertical="center" wrapText="1"/>
    </xf>
    <xf numFmtId="0" fontId="0" fillId="0" borderId="0" xfId="0" applyAlignment="1">
      <alignment horizontal="center"/>
    </xf>
    <xf numFmtId="0" fontId="71" fillId="0" borderId="19" xfId="0" applyFont="1" applyBorder="1" applyAlignment="1">
      <alignment horizontal="center" vertical="center" textRotation="90"/>
    </xf>
    <xf numFmtId="0" fontId="0" fillId="0" borderId="74"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72" fillId="0" borderId="19" xfId="0" applyFont="1" applyBorder="1" applyAlignment="1">
      <alignment horizontal="center" vertical="center"/>
    </xf>
    <xf numFmtId="0" fontId="70" fillId="0" borderId="19" xfId="0" applyFont="1" applyBorder="1" applyAlignment="1">
      <alignment horizontal="center" vertical="center" wrapText="1"/>
    </xf>
    <xf numFmtId="0" fontId="70" fillId="0" borderId="75" xfId="0" applyFont="1" applyBorder="1" applyAlignment="1">
      <alignment horizontal="center" vertical="center"/>
    </xf>
    <xf numFmtId="0" fontId="70" fillId="0" borderId="61" xfId="0" applyFont="1" applyBorder="1" applyAlignment="1">
      <alignment horizontal="center" vertical="center"/>
    </xf>
    <xf numFmtId="0" fontId="70" fillId="0" borderId="19" xfId="0" applyFont="1" applyBorder="1" applyAlignment="1">
      <alignment horizontal="center" vertical="center"/>
    </xf>
    <xf numFmtId="0" fontId="61" fillId="16" borderId="19" xfId="0" applyFont="1" applyFill="1" applyBorder="1" applyAlignment="1">
      <alignment horizontal="center" vertical="center" wrapText="1"/>
    </xf>
  </cellXfs>
  <cellStyles count="8">
    <cellStyle name="Normal" xfId="0" builtinId="0"/>
    <cellStyle name="Normal - Style1 2" xfId="2" xr:uid="{00000000-0005-0000-0000-000001000000}"/>
    <cellStyle name="Normal 11" xfId="7" xr:uid="{00000000-0005-0000-0000-000002000000}"/>
    <cellStyle name="Normal 2" xfId="4" xr:uid="{00000000-0005-0000-0000-000003000000}"/>
    <cellStyle name="Normal 2 2" xfId="3" xr:uid="{00000000-0005-0000-0000-000004000000}"/>
    <cellStyle name="Normal 3" xfId="5" xr:uid="{00000000-0005-0000-0000-000005000000}"/>
    <cellStyle name="Normal 3 2" xfId="6" xr:uid="{00000000-0005-0000-0000-000006000000}"/>
    <cellStyle name="Porcentaje" xfId="1" builtinId="5"/>
  </cellStyles>
  <dxfs count="627">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0000"/>
        </patternFill>
      </fill>
    </dxf>
    <dxf>
      <fill>
        <patternFill>
          <bgColor rgb="FFFF66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9633FF"/>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CC00"/>
      <color rgb="FFFFFF66"/>
      <color rgb="FFFF6600"/>
      <color rgb="FFFFFF99"/>
      <color rgb="FFFF9900"/>
      <color rgb="FFE6EF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microsoft.com/office/2017/10/relationships/person" Target="persons/perso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pivotCacheDefinition" Target="pivotCache/pivotCacheDefinition1.xml"/><Relationship Id="rId35" Type="http://schemas.openxmlformats.org/officeDocument/2006/relationships/calcChain" Target="calcChain.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208642</xdr:colOff>
      <xdr:row>0</xdr:row>
      <xdr:rowOff>181428</xdr:rowOff>
    </xdr:from>
    <xdr:to>
      <xdr:col>2</xdr:col>
      <xdr:colOff>336671</xdr:colOff>
      <xdr:row>0</xdr:row>
      <xdr:rowOff>743857</xdr:rowOff>
    </xdr:to>
    <xdr:pic>
      <xdr:nvPicPr>
        <xdr:cNvPr id="3" name="Imagen 2" descr="logo vertical color">
          <a:extLst>
            <a:ext uri="{FF2B5EF4-FFF2-40B4-BE49-F238E27FC236}">
              <a16:creationId xmlns:a16="http://schemas.microsoft.com/office/drawing/2014/main" id="{D2BBF45E-A262-4E9F-89FE-0BF8305775F7}"/>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208642" y="181428"/>
          <a:ext cx="581600" cy="56242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232832</xdr:colOff>
      <xdr:row>0</xdr:row>
      <xdr:rowOff>116415</xdr:rowOff>
    </xdr:from>
    <xdr:to>
      <xdr:col>2</xdr:col>
      <xdr:colOff>445895</xdr:colOff>
      <xdr:row>0</xdr:row>
      <xdr:rowOff>762000</xdr:rowOff>
    </xdr:to>
    <xdr:pic>
      <xdr:nvPicPr>
        <xdr:cNvPr id="3" name="Imagen 2" descr="logo vertical color">
          <a:extLst>
            <a:ext uri="{FF2B5EF4-FFF2-40B4-BE49-F238E27FC236}">
              <a16:creationId xmlns:a16="http://schemas.microsoft.com/office/drawing/2014/main" id="{381F0ECC-F322-4374-9668-70EA4FB442EF}"/>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232832" y="116415"/>
          <a:ext cx="668146" cy="645585"/>
        </a:xfrm>
        <a:prstGeom prst="rect">
          <a:avLst/>
        </a:prstGeom>
        <a:noFill/>
        <a:ln w="9525">
          <a:noFill/>
          <a:miter lim="800000"/>
          <a:headEnd/>
          <a:tailEnd/>
        </a:ln>
      </xdr:spPr>
    </xdr:pic>
    <xdr:clientData/>
  </xdr:twoCellAnchor>
</xdr:wsDr>
</file>

<file path=xl/persons/person.xml><?xml version="1.0" encoding="utf-8"?>
<personList xmlns="http://schemas.microsoft.com/office/spreadsheetml/2018/threadedcomments" xmlns:x="http://schemas.openxmlformats.org/spreadsheetml/2006/main"/>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1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1A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626" dataDxfId="625">
  <autoFilter ref="B209:C219" xr:uid="{00000000-0009-0000-0100-000001000000}"/>
  <tableColumns count="2">
    <tableColumn id="1" xr3:uid="{00000000-0010-0000-0000-000001000000}" name="Criterios" dataDxfId="624"/>
    <tableColumn id="2" xr3:uid="{00000000-0010-0000-0000-000002000000}" name="Subcriterios" dataDxfId="623"/>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9.bin"/><Relationship Id="rId1" Type="http://schemas.openxmlformats.org/officeDocument/2006/relationships/pivotTable" Target="../pivotTables/pivotTable1.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igac.gov.co/sites/igac.gov.co/files/listadomaestro/ct-pry_gestion_de_proyect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26" zoomScale="70" zoomScaleNormal="70" workbookViewId="0">
      <selection activeCell="I35" sqref="I35"/>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336" t="s">
        <v>132</v>
      </c>
      <c r="C2" s="337"/>
      <c r="D2" s="337"/>
      <c r="E2" s="337"/>
      <c r="F2" s="337"/>
      <c r="G2" s="337"/>
      <c r="H2" s="338"/>
    </row>
    <row r="3" spans="2:8" x14ac:dyDescent="0.25">
      <c r="B3" s="71"/>
      <c r="C3" s="72"/>
      <c r="D3" s="72"/>
      <c r="E3" s="72"/>
      <c r="F3" s="72"/>
      <c r="G3" s="72"/>
      <c r="H3" s="73"/>
    </row>
    <row r="4" spans="2:8" ht="63" customHeight="1" x14ac:dyDescent="0.25">
      <c r="B4" s="339" t="s">
        <v>175</v>
      </c>
      <c r="C4" s="340"/>
      <c r="D4" s="340"/>
      <c r="E4" s="340"/>
      <c r="F4" s="340"/>
      <c r="G4" s="340"/>
      <c r="H4" s="341"/>
    </row>
    <row r="5" spans="2:8" ht="63" customHeight="1" x14ac:dyDescent="0.25">
      <c r="B5" s="342"/>
      <c r="C5" s="343"/>
      <c r="D5" s="343"/>
      <c r="E5" s="343"/>
      <c r="F5" s="343"/>
      <c r="G5" s="343"/>
      <c r="H5" s="344"/>
    </row>
    <row r="6" spans="2:8" ht="16.5" x14ac:dyDescent="0.25">
      <c r="B6" s="345" t="s">
        <v>130</v>
      </c>
      <c r="C6" s="346"/>
      <c r="D6" s="346"/>
      <c r="E6" s="346"/>
      <c r="F6" s="346"/>
      <c r="G6" s="346"/>
      <c r="H6" s="347"/>
    </row>
    <row r="7" spans="2:8" ht="95.25" customHeight="1" x14ac:dyDescent="0.25">
      <c r="B7" s="355" t="s">
        <v>135</v>
      </c>
      <c r="C7" s="356"/>
      <c r="D7" s="356"/>
      <c r="E7" s="356"/>
      <c r="F7" s="356"/>
      <c r="G7" s="356"/>
      <c r="H7" s="357"/>
    </row>
    <row r="8" spans="2:8" ht="16.5" x14ac:dyDescent="0.25">
      <c r="B8" s="107"/>
      <c r="C8" s="108"/>
      <c r="D8" s="108"/>
      <c r="E8" s="108"/>
      <c r="F8" s="108"/>
      <c r="G8" s="108"/>
      <c r="H8" s="109"/>
    </row>
    <row r="9" spans="2:8" ht="16.5" customHeight="1" x14ac:dyDescent="0.25">
      <c r="B9" s="348" t="s">
        <v>168</v>
      </c>
      <c r="C9" s="349"/>
      <c r="D9" s="349"/>
      <c r="E9" s="349"/>
      <c r="F9" s="349"/>
      <c r="G9" s="349"/>
      <c r="H9" s="350"/>
    </row>
    <row r="10" spans="2:8" ht="44.25" customHeight="1" x14ac:dyDescent="0.25">
      <c r="B10" s="348"/>
      <c r="C10" s="349"/>
      <c r="D10" s="349"/>
      <c r="E10" s="349"/>
      <c r="F10" s="349"/>
      <c r="G10" s="349"/>
      <c r="H10" s="350"/>
    </row>
    <row r="11" spans="2:8" ht="15.75" thickBot="1" x14ac:dyDescent="0.3">
      <c r="B11" s="96"/>
      <c r="C11" s="99"/>
      <c r="D11" s="104"/>
      <c r="E11" s="105"/>
      <c r="F11" s="105"/>
      <c r="G11" s="106"/>
      <c r="H11" s="100"/>
    </row>
    <row r="12" spans="2:8" ht="15.75" thickTop="1" x14ac:dyDescent="0.25">
      <c r="B12" s="96"/>
      <c r="C12" s="351" t="s">
        <v>131</v>
      </c>
      <c r="D12" s="352"/>
      <c r="E12" s="353" t="s">
        <v>169</v>
      </c>
      <c r="F12" s="354"/>
      <c r="G12" s="99"/>
      <c r="H12" s="100"/>
    </row>
    <row r="13" spans="2:8" ht="35.25" customHeight="1" x14ac:dyDescent="0.25">
      <c r="B13" s="96"/>
      <c r="C13" s="358" t="s">
        <v>162</v>
      </c>
      <c r="D13" s="359"/>
      <c r="E13" s="360" t="s">
        <v>167</v>
      </c>
      <c r="F13" s="361"/>
      <c r="G13" s="99"/>
      <c r="H13" s="100"/>
    </row>
    <row r="14" spans="2:8" ht="17.25" customHeight="1" x14ac:dyDescent="0.25">
      <c r="B14" s="96"/>
      <c r="C14" s="358" t="s">
        <v>163</v>
      </c>
      <c r="D14" s="359"/>
      <c r="E14" s="360" t="s">
        <v>165</v>
      </c>
      <c r="F14" s="361"/>
      <c r="G14" s="99"/>
      <c r="H14" s="100"/>
    </row>
    <row r="15" spans="2:8" ht="19.5" customHeight="1" x14ac:dyDescent="0.25">
      <c r="B15" s="96"/>
      <c r="C15" s="358" t="s">
        <v>164</v>
      </c>
      <c r="D15" s="359"/>
      <c r="E15" s="360" t="s">
        <v>166</v>
      </c>
      <c r="F15" s="361"/>
      <c r="G15" s="99"/>
      <c r="H15" s="100"/>
    </row>
    <row r="16" spans="2:8" ht="69.75" customHeight="1" x14ac:dyDescent="0.25">
      <c r="B16" s="96"/>
      <c r="C16" s="358" t="s">
        <v>133</v>
      </c>
      <c r="D16" s="359"/>
      <c r="E16" s="360" t="s">
        <v>134</v>
      </c>
      <c r="F16" s="361"/>
      <c r="G16" s="99"/>
      <c r="H16" s="100"/>
    </row>
    <row r="17" spans="2:8" ht="34.5" customHeight="1" x14ac:dyDescent="0.25">
      <c r="B17" s="96"/>
      <c r="C17" s="362" t="s">
        <v>1</v>
      </c>
      <c r="D17" s="363"/>
      <c r="E17" s="364" t="s">
        <v>176</v>
      </c>
      <c r="F17" s="365"/>
      <c r="G17" s="99"/>
      <c r="H17" s="100"/>
    </row>
    <row r="18" spans="2:8" ht="27.75" customHeight="1" x14ac:dyDescent="0.25">
      <c r="B18" s="96"/>
      <c r="C18" s="362" t="s">
        <v>2</v>
      </c>
      <c r="D18" s="363"/>
      <c r="E18" s="364" t="s">
        <v>177</v>
      </c>
      <c r="F18" s="365"/>
      <c r="G18" s="99"/>
      <c r="H18" s="100"/>
    </row>
    <row r="19" spans="2:8" ht="28.5" customHeight="1" x14ac:dyDescent="0.25">
      <c r="B19" s="96"/>
      <c r="C19" s="362" t="s">
        <v>32</v>
      </c>
      <c r="D19" s="363"/>
      <c r="E19" s="364" t="s">
        <v>178</v>
      </c>
      <c r="F19" s="365"/>
      <c r="G19" s="99"/>
      <c r="H19" s="100"/>
    </row>
    <row r="20" spans="2:8" ht="72.75" customHeight="1" x14ac:dyDescent="0.25">
      <c r="B20" s="96"/>
      <c r="C20" s="362" t="s">
        <v>0</v>
      </c>
      <c r="D20" s="363"/>
      <c r="E20" s="364" t="s">
        <v>179</v>
      </c>
      <c r="F20" s="365"/>
      <c r="G20" s="99"/>
      <c r="H20" s="100"/>
    </row>
    <row r="21" spans="2:8" ht="64.5" customHeight="1" x14ac:dyDescent="0.25">
      <c r="B21" s="96"/>
      <c r="C21" s="362" t="s">
        <v>36</v>
      </c>
      <c r="D21" s="363"/>
      <c r="E21" s="364" t="s">
        <v>137</v>
      </c>
      <c r="F21" s="365"/>
      <c r="G21" s="99"/>
      <c r="H21" s="100"/>
    </row>
    <row r="22" spans="2:8" ht="71.25" customHeight="1" x14ac:dyDescent="0.25">
      <c r="B22" s="96"/>
      <c r="C22" s="362" t="s">
        <v>136</v>
      </c>
      <c r="D22" s="363"/>
      <c r="E22" s="364" t="s">
        <v>138</v>
      </c>
      <c r="F22" s="365"/>
      <c r="G22" s="99"/>
      <c r="H22" s="100"/>
    </row>
    <row r="23" spans="2:8" ht="55.5" customHeight="1" x14ac:dyDescent="0.25">
      <c r="B23" s="96"/>
      <c r="C23" s="369" t="s">
        <v>139</v>
      </c>
      <c r="D23" s="370"/>
      <c r="E23" s="364" t="s">
        <v>140</v>
      </c>
      <c r="F23" s="365"/>
      <c r="G23" s="99"/>
      <c r="H23" s="100"/>
    </row>
    <row r="24" spans="2:8" ht="42" customHeight="1" x14ac:dyDescent="0.25">
      <c r="B24" s="96"/>
      <c r="C24" s="369" t="s">
        <v>35</v>
      </c>
      <c r="D24" s="370"/>
      <c r="E24" s="364" t="s">
        <v>141</v>
      </c>
      <c r="F24" s="365"/>
      <c r="G24" s="99"/>
      <c r="H24" s="100"/>
    </row>
    <row r="25" spans="2:8" ht="59.25" customHeight="1" x14ac:dyDescent="0.25">
      <c r="B25" s="96"/>
      <c r="C25" s="369" t="s">
        <v>129</v>
      </c>
      <c r="D25" s="370"/>
      <c r="E25" s="364" t="s">
        <v>142</v>
      </c>
      <c r="F25" s="365"/>
      <c r="G25" s="99"/>
      <c r="H25" s="100"/>
    </row>
    <row r="26" spans="2:8" ht="23.25" customHeight="1" x14ac:dyDescent="0.25">
      <c r="B26" s="96"/>
      <c r="C26" s="369" t="s">
        <v>11</v>
      </c>
      <c r="D26" s="370"/>
      <c r="E26" s="364" t="s">
        <v>143</v>
      </c>
      <c r="F26" s="365"/>
      <c r="G26" s="99"/>
      <c r="H26" s="100"/>
    </row>
    <row r="27" spans="2:8" ht="30.75" customHeight="1" x14ac:dyDescent="0.25">
      <c r="B27" s="96"/>
      <c r="C27" s="369" t="s">
        <v>147</v>
      </c>
      <c r="D27" s="370"/>
      <c r="E27" s="364" t="s">
        <v>144</v>
      </c>
      <c r="F27" s="365"/>
      <c r="G27" s="99"/>
      <c r="H27" s="100"/>
    </row>
    <row r="28" spans="2:8" ht="35.25" customHeight="1" x14ac:dyDescent="0.25">
      <c r="B28" s="96"/>
      <c r="C28" s="369" t="s">
        <v>148</v>
      </c>
      <c r="D28" s="370"/>
      <c r="E28" s="364" t="s">
        <v>145</v>
      </c>
      <c r="F28" s="365"/>
      <c r="G28" s="99"/>
      <c r="H28" s="100"/>
    </row>
    <row r="29" spans="2:8" ht="33" customHeight="1" x14ac:dyDescent="0.25">
      <c r="B29" s="96"/>
      <c r="C29" s="369" t="s">
        <v>148</v>
      </c>
      <c r="D29" s="370"/>
      <c r="E29" s="364" t="s">
        <v>145</v>
      </c>
      <c r="F29" s="365"/>
      <c r="G29" s="99"/>
      <c r="H29" s="100"/>
    </row>
    <row r="30" spans="2:8" ht="30" customHeight="1" x14ac:dyDescent="0.25">
      <c r="B30" s="96"/>
      <c r="C30" s="369" t="s">
        <v>149</v>
      </c>
      <c r="D30" s="370"/>
      <c r="E30" s="364" t="s">
        <v>146</v>
      </c>
      <c r="F30" s="365"/>
      <c r="G30" s="99"/>
      <c r="H30" s="100"/>
    </row>
    <row r="31" spans="2:8" ht="35.25" customHeight="1" x14ac:dyDescent="0.25">
      <c r="B31" s="96"/>
      <c r="C31" s="369" t="s">
        <v>150</v>
      </c>
      <c r="D31" s="370"/>
      <c r="E31" s="364" t="s">
        <v>151</v>
      </c>
      <c r="F31" s="365"/>
      <c r="G31" s="99"/>
      <c r="H31" s="100"/>
    </row>
    <row r="32" spans="2:8" ht="31.5" customHeight="1" x14ac:dyDescent="0.25">
      <c r="B32" s="96"/>
      <c r="C32" s="369" t="s">
        <v>152</v>
      </c>
      <c r="D32" s="370"/>
      <c r="E32" s="364" t="s">
        <v>153</v>
      </c>
      <c r="F32" s="365"/>
      <c r="G32" s="99"/>
      <c r="H32" s="100"/>
    </row>
    <row r="33" spans="2:8" ht="35.25" customHeight="1" x14ac:dyDescent="0.25">
      <c r="B33" s="96"/>
      <c r="C33" s="369" t="s">
        <v>154</v>
      </c>
      <c r="D33" s="370"/>
      <c r="E33" s="364" t="s">
        <v>155</v>
      </c>
      <c r="F33" s="365"/>
      <c r="G33" s="99"/>
      <c r="H33" s="100"/>
    </row>
    <row r="34" spans="2:8" ht="59.25" customHeight="1" x14ac:dyDescent="0.25">
      <c r="B34" s="96"/>
      <c r="C34" s="369" t="s">
        <v>156</v>
      </c>
      <c r="D34" s="370"/>
      <c r="E34" s="364" t="s">
        <v>157</v>
      </c>
      <c r="F34" s="365"/>
      <c r="G34" s="99"/>
      <c r="H34" s="100"/>
    </row>
    <row r="35" spans="2:8" ht="29.25" customHeight="1" x14ac:dyDescent="0.25">
      <c r="B35" s="96"/>
      <c r="C35" s="369" t="s">
        <v>25</v>
      </c>
      <c r="D35" s="370"/>
      <c r="E35" s="364" t="s">
        <v>158</v>
      </c>
      <c r="F35" s="365"/>
      <c r="G35" s="99"/>
      <c r="H35" s="100"/>
    </row>
    <row r="36" spans="2:8" ht="82.5" customHeight="1" x14ac:dyDescent="0.25">
      <c r="B36" s="96"/>
      <c r="C36" s="369" t="s">
        <v>160</v>
      </c>
      <c r="D36" s="370"/>
      <c r="E36" s="364" t="s">
        <v>159</v>
      </c>
      <c r="F36" s="365"/>
      <c r="G36" s="99"/>
      <c r="H36" s="100"/>
    </row>
    <row r="37" spans="2:8" ht="46.5" customHeight="1" x14ac:dyDescent="0.25">
      <c r="B37" s="96"/>
      <c r="C37" s="369" t="s">
        <v>29</v>
      </c>
      <c r="D37" s="370"/>
      <c r="E37" s="364" t="s">
        <v>161</v>
      </c>
      <c r="F37" s="365"/>
      <c r="G37" s="99"/>
      <c r="H37" s="100"/>
    </row>
    <row r="38" spans="2:8" ht="6.75" customHeight="1" thickBot="1" x14ac:dyDescent="0.3">
      <c r="B38" s="96"/>
      <c r="C38" s="371"/>
      <c r="D38" s="372"/>
      <c r="E38" s="373"/>
      <c r="F38" s="374"/>
      <c r="G38" s="99"/>
      <c r="H38" s="100"/>
    </row>
    <row r="39" spans="2:8" ht="15.75" thickTop="1" x14ac:dyDescent="0.25">
      <c r="B39" s="96"/>
      <c r="C39" s="97"/>
      <c r="D39" s="97"/>
      <c r="E39" s="98"/>
      <c r="F39" s="98"/>
      <c r="G39" s="99"/>
      <c r="H39" s="100"/>
    </row>
    <row r="40" spans="2:8" ht="21" customHeight="1" x14ac:dyDescent="0.25">
      <c r="B40" s="366" t="s">
        <v>170</v>
      </c>
      <c r="C40" s="367"/>
      <c r="D40" s="367"/>
      <c r="E40" s="367"/>
      <c r="F40" s="367"/>
      <c r="G40" s="367"/>
      <c r="H40" s="368"/>
    </row>
    <row r="41" spans="2:8" ht="20.25" customHeight="1" x14ac:dyDescent="0.25">
      <c r="B41" s="366" t="s">
        <v>171</v>
      </c>
      <c r="C41" s="367"/>
      <c r="D41" s="367"/>
      <c r="E41" s="367"/>
      <c r="F41" s="367"/>
      <c r="G41" s="367"/>
      <c r="H41" s="368"/>
    </row>
    <row r="42" spans="2:8" ht="20.25" customHeight="1" x14ac:dyDescent="0.25">
      <c r="B42" s="366" t="s">
        <v>172</v>
      </c>
      <c r="C42" s="367"/>
      <c r="D42" s="367"/>
      <c r="E42" s="367"/>
      <c r="F42" s="367"/>
      <c r="G42" s="367"/>
      <c r="H42" s="368"/>
    </row>
    <row r="43" spans="2:8" ht="20.25" customHeight="1" x14ac:dyDescent="0.25">
      <c r="B43" s="366" t="s">
        <v>173</v>
      </c>
      <c r="C43" s="367"/>
      <c r="D43" s="367"/>
      <c r="E43" s="367"/>
      <c r="F43" s="367"/>
      <c r="G43" s="367"/>
      <c r="H43" s="368"/>
    </row>
    <row r="44" spans="2:8" x14ac:dyDescent="0.25">
      <c r="B44" s="366" t="s">
        <v>174</v>
      </c>
      <c r="C44" s="367"/>
      <c r="D44" s="367"/>
      <c r="E44" s="367"/>
      <c r="F44" s="367"/>
      <c r="G44" s="367"/>
      <c r="H44" s="368"/>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9900"/>
  </sheetPr>
  <dimension ref="A1:H45"/>
  <sheetViews>
    <sheetView topLeftCell="A45" zoomScale="60" zoomScaleNormal="60" workbookViewId="0">
      <selection activeCell="A53" sqref="A47:XFD53"/>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5.7109375" style="70" customWidth="1"/>
    <col min="6" max="6" width="31.42578125" style="70" customWidth="1"/>
    <col min="7" max="8" width="24.7109375" style="70" customWidth="1"/>
    <col min="9" max="16384" width="11.42578125" style="70"/>
  </cols>
  <sheetData>
    <row r="1" spans="1:8" s="129" customFormat="1" ht="28.5" customHeight="1" thickTop="1" x14ac:dyDescent="0.2">
      <c r="A1" s="379"/>
      <c r="B1" s="380"/>
      <c r="C1" s="385" t="s">
        <v>274</v>
      </c>
      <c r="D1" s="385"/>
      <c r="E1" s="385"/>
      <c r="F1" s="385"/>
      <c r="G1" s="385"/>
      <c r="H1" s="386"/>
    </row>
    <row r="2" spans="1:8" s="129" customFormat="1" ht="27.75" customHeight="1" x14ac:dyDescent="0.2">
      <c r="A2" s="381"/>
      <c r="B2" s="382"/>
      <c r="C2" s="387" t="s">
        <v>588</v>
      </c>
      <c r="D2" s="387"/>
      <c r="E2" s="387"/>
      <c r="F2" s="387"/>
      <c r="G2" s="387"/>
      <c r="H2" s="388"/>
    </row>
    <row r="3" spans="1:8" s="129" customFormat="1" ht="24" customHeight="1" thickBot="1" x14ac:dyDescent="0.25">
      <c r="A3" s="383"/>
      <c r="B3" s="384"/>
      <c r="C3" s="389"/>
      <c r="D3" s="389"/>
      <c r="E3" s="389"/>
      <c r="F3" s="389"/>
      <c r="G3" s="389"/>
      <c r="H3" s="390"/>
    </row>
    <row r="4" spans="1:8" ht="15.75" thickTop="1" x14ac:dyDescent="0.25">
      <c r="A4" s="187"/>
      <c r="B4" s="187"/>
      <c r="C4" s="187"/>
      <c r="D4" s="187"/>
      <c r="E4" s="187"/>
      <c r="F4" s="187"/>
      <c r="G4" s="187"/>
      <c r="H4" s="187"/>
    </row>
    <row r="5" spans="1:8" ht="16.5" x14ac:dyDescent="0.25">
      <c r="A5" s="187"/>
      <c r="B5" s="378" t="s">
        <v>132</v>
      </c>
      <c r="C5" s="378"/>
      <c r="D5" s="378"/>
      <c r="E5" s="378"/>
      <c r="F5" s="378"/>
      <c r="G5" s="378"/>
      <c r="H5" s="378"/>
    </row>
    <row r="6" spans="1:8" ht="16.5" x14ac:dyDescent="0.3">
      <c r="A6" s="187"/>
      <c r="B6" s="375"/>
      <c r="C6" s="376"/>
      <c r="D6" s="376"/>
      <c r="E6" s="376"/>
      <c r="F6" s="376"/>
      <c r="G6" s="376"/>
      <c r="H6" s="377"/>
    </row>
    <row r="7" spans="1:8" ht="63" customHeight="1" x14ac:dyDescent="0.25">
      <c r="A7" s="187"/>
      <c r="B7" s="391" t="s">
        <v>569</v>
      </c>
      <c r="C7" s="391"/>
      <c r="D7" s="391"/>
      <c r="E7" s="391"/>
      <c r="F7" s="391"/>
      <c r="G7" s="391"/>
      <c r="H7" s="391"/>
    </row>
    <row r="8" spans="1:8" ht="90.75" customHeight="1" x14ac:dyDescent="0.25">
      <c r="A8" s="187"/>
      <c r="B8" s="391"/>
      <c r="C8" s="391"/>
      <c r="D8" s="391"/>
      <c r="E8" s="391"/>
      <c r="F8" s="391"/>
      <c r="G8" s="391"/>
      <c r="H8" s="391"/>
    </row>
    <row r="9" spans="1:8" x14ac:dyDescent="0.25">
      <c r="A9" s="187"/>
      <c r="B9" s="392" t="s">
        <v>130</v>
      </c>
      <c r="C9" s="393"/>
      <c r="D9" s="393"/>
      <c r="E9" s="393"/>
      <c r="F9" s="393"/>
      <c r="G9" s="393"/>
      <c r="H9" s="393"/>
    </row>
    <row r="10" spans="1:8" ht="95.25" customHeight="1" x14ac:dyDescent="0.25">
      <c r="A10" s="187"/>
      <c r="B10" s="394" t="s">
        <v>570</v>
      </c>
      <c r="C10" s="394"/>
      <c r="D10" s="394"/>
      <c r="E10" s="394"/>
      <c r="F10" s="394"/>
      <c r="G10" s="394"/>
      <c r="H10" s="394"/>
    </row>
    <row r="11" spans="1:8" ht="16.5" x14ac:dyDescent="0.25">
      <c r="A11" s="187"/>
      <c r="B11" s="400"/>
      <c r="C11" s="401"/>
      <c r="D11" s="401"/>
      <c r="E11" s="401"/>
      <c r="F11" s="401"/>
      <c r="G11" s="401"/>
      <c r="H11" s="402"/>
    </row>
    <row r="12" spans="1:8" ht="16.5" customHeight="1" x14ac:dyDescent="0.25">
      <c r="A12" s="187"/>
      <c r="B12" s="391" t="s">
        <v>533</v>
      </c>
      <c r="C12" s="395"/>
      <c r="D12" s="395"/>
      <c r="E12" s="395"/>
      <c r="F12" s="395"/>
      <c r="G12" s="395"/>
      <c r="H12" s="395"/>
    </row>
    <row r="13" spans="1:8" ht="96" customHeight="1" x14ac:dyDescent="0.25">
      <c r="A13" s="187"/>
      <c r="B13" s="395"/>
      <c r="C13" s="395"/>
      <c r="D13" s="395"/>
      <c r="E13" s="395"/>
      <c r="F13" s="395"/>
      <c r="G13" s="395"/>
      <c r="H13" s="395"/>
    </row>
    <row r="14" spans="1:8" ht="17.25" thickBot="1" x14ac:dyDescent="0.35">
      <c r="A14" s="187"/>
      <c r="B14" s="188"/>
      <c r="C14" s="189"/>
      <c r="D14" s="190"/>
      <c r="E14" s="191"/>
      <c r="F14" s="191"/>
      <c r="G14" s="192"/>
      <c r="H14" s="193"/>
    </row>
    <row r="15" spans="1:8" ht="17.25" thickTop="1" x14ac:dyDescent="0.3">
      <c r="A15" s="187"/>
      <c r="B15" s="188"/>
      <c r="C15" s="396" t="s">
        <v>131</v>
      </c>
      <c r="D15" s="397"/>
      <c r="E15" s="398" t="s">
        <v>169</v>
      </c>
      <c r="F15" s="399"/>
      <c r="G15" s="189"/>
      <c r="H15" s="193"/>
    </row>
    <row r="16" spans="1:8" ht="109.5" customHeight="1" x14ac:dyDescent="0.3">
      <c r="A16" s="187"/>
      <c r="B16" s="188"/>
      <c r="C16" s="403" t="s">
        <v>133</v>
      </c>
      <c r="D16" s="404"/>
      <c r="E16" s="405" t="s">
        <v>294</v>
      </c>
      <c r="F16" s="406"/>
      <c r="G16" s="189"/>
      <c r="H16" s="193"/>
    </row>
    <row r="17" spans="1:8" ht="41.25" customHeight="1" x14ac:dyDescent="0.3">
      <c r="A17" s="187"/>
      <c r="B17" s="188"/>
      <c r="C17" s="407" t="s">
        <v>162</v>
      </c>
      <c r="D17" s="408"/>
      <c r="E17" s="405" t="s">
        <v>167</v>
      </c>
      <c r="F17" s="406"/>
      <c r="G17" s="189"/>
      <c r="H17" s="193"/>
    </row>
    <row r="18" spans="1:8" ht="45.75" customHeight="1" x14ac:dyDescent="0.3">
      <c r="A18" s="187"/>
      <c r="B18" s="188"/>
      <c r="C18" s="409" t="s">
        <v>1</v>
      </c>
      <c r="D18" s="410"/>
      <c r="E18" s="411" t="s">
        <v>176</v>
      </c>
      <c r="F18" s="412"/>
      <c r="G18" s="189"/>
      <c r="H18" s="193"/>
    </row>
    <row r="19" spans="1:8" ht="45.75" customHeight="1" x14ac:dyDescent="0.3">
      <c r="A19" s="187"/>
      <c r="B19" s="188"/>
      <c r="C19" s="409" t="s">
        <v>2</v>
      </c>
      <c r="D19" s="410"/>
      <c r="E19" s="411" t="s">
        <v>177</v>
      </c>
      <c r="F19" s="412"/>
      <c r="G19" s="189"/>
      <c r="H19" s="193"/>
    </row>
    <row r="20" spans="1:8" ht="50.25" customHeight="1" x14ac:dyDescent="0.3">
      <c r="A20" s="187"/>
      <c r="B20" s="188"/>
      <c r="C20" s="409" t="s">
        <v>32</v>
      </c>
      <c r="D20" s="410"/>
      <c r="E20" s="411" t="s">
        <v>178</v>
      </c>
      <c r="F20" s="412"/>
      <c r="G20" s="189"/>
      <c r="H20" s="193"/>
    </row>
    <row r="21" spans="1:8" ht="102.75" customHeight="1" x14ac:dyDescent="0.3">
      <c r="A21" s="187"/>
      <c r="B21" s="188"/>
      <c r="C21" s="409" t="s">
        <v>0</v>
      </c>
      <c r="D21" s="410"/>
      <c r="E21" s="411" t="s">
        <v>571</v>
      </c>
      <c r="F21" s="412"/>
      <c r="G21" s="189"/>
      <c r="H21" s="193"/>
    </row>
    <row r="22" spans="1:8" ht="97.5" customHeight="1" x14ac:dyDescent="0.3">
      <c r="A22" s="187"/>
      <c r="B22" s="188"/>
      <c r="C22" s="409" t="s">
        <v>36</v>
      </c>
      <c r="D22" s="410"/>
      <c r="E22" s="411" t="s">
        <v>534</v>
      </c>
      <c r="F22" s="412"/>
      <c r="G22" s="189"/>
      <c r="H22" s="193"/>
    </row>
    <row r="23" spans="1:8" ht="99.75" customHeight="1" x14ac:dyDescent="0.3">
      <c r="A23" s="187"/>
      <c r="B23" s="188"/>
      <c r="C23" s="409" t="s">
        <v>136</v>
      </c>
      <c r="D23" s="410"/>
      <c r="E23" s="411" t="s">
        <v>535</v>
      </c>
      <c r="F23" s="412"/>
      <c r="G23" s="189"/>
      <c r="H23" s="193"/>
    </row>
    <row r="24" spans="1:8" ht="81" customHeight="1" x14ac:dyDescent="0.3">
      <c r="A24" s="187"/>
      <c r="B24" s="188"/>
      <c r="C24" s="409" t="s">
        <v>139</v>
      </c>
      <c r="D24" s="410"/>
      <c r="E24" s="411" t="s">
        <v>536</v>
      </c>
      <c r="F24" s="412"/>
      <c r="G24" s="189"/>
      <c r="H24" s="193"/>
    </row>
    <row r="25" spans="1:8" ht="60.75" customHeight="1" x14ac:dyDescent="0.3">
      <c r="A25" s="187"/>
      <c r="B25" s="188"/>
      <c r="C25" s="409" t="s">
        <v>35</v>
      </c>
      <c r="D25" s="410"/>
      <c r="E25" s="411" t="s">
        <v>295</v>
      </c>
      <c r="F25" s="412"/>
      <c r="G25" s="189"/>
      <c r="H25" s="193"/>
    </row>
    <row r="26" spans="1:8" ht="73.5" customHeight="1" x14ac:dyDescent="0.3">
      <c r="A26" s="187"/>
      <c r="B26" s="188"/>
      <c r="C26" s="409" t="s">
        <v>129</v>
      </c>
      <c r="D26" s="410"/>
      <c r="E26" s="411" t="s">
        <v>572</v>
      </c>
      <c r="F26" s="412"/>
      <c r="G26" s="189"/>
      <c r="H26" s="193"/>
    </row>
    <row r="27" spans="1:8" ht="45.75" customHeight="1" x14ac:dyDescent="0.3">
      <c r="A27" s="187"/>
      <c r="B27" s="188"/>
      <c r="C27" s="409" t="s">
        <v>11</v>
      </c>
      <c r="D27" s="410"/>
      <c r="E27" s="411" t="s">
        <v>296</v>
      </c>
      <c r="F27" s="412"/>
      <c r="G27" s="189"/>
      <c r="H27" s="193"/>
    </row>
    <row r="28" spans="1:8" ht="48.75" customHeight="1" x14ac:dyDescent="0.3">
      <c r="A28" s="187"/>
      <c r="B28" s="188"/>
      <c r="C28" s="409" t="s">
        <v>573</v>
      </c>
      <c r="D28" s="410"/>
      <c r="E28" s="411" t="s">
        <v>537</v>
      </c>
      <c r="F28" s="412"/>
      <c r="G28" s="189"/>
      <c r="H28" s="193"/>
    </row>
    <row r="29" spans="1:8" ht="35.25" customHeight="1" x14ac:dyDescent="0.3">
      <c r="A29" s="187"/>
      <c r="B29" s="188"/>
      <c r="C29" s="409" t="s">
        <v>574</v>
      </c>
      <c r="D29" s="410"/>
      <c r="E29" s="411" t="s">
        <v>538</v>
      </c>
      <c r="F29" s="412"/>
      <c r="G29" s="189"/>
      <c r="H29" s="193"/>
    </row>
    <row r="30" spans="1:8" ht="40.5" customHeight="1" x14ac:dyDescent="0.3">
      <c r="A30" s="187"/>
      <c r="B30" s="188"/>
      <c r="C30" s="409" t="s">
        <v>574</v>
      </c>
      <c r="D30" s="410"/>
      <c r="E30" s="411" t="s">
        <v>538</v>
      </c>
      <c r="F30" s="412"/>
      <c r="G30" s="189"/>
      <c r="H30" s="193"/>
    </row>
    <row r="31" spans="1:8" ht="34.5" customHeight="1" x14ac:dyDescent="0.3">
      <c r="A31" s="187"/>
      <c r="B31" s="188"/>
      <c r="C31" s="409" t="s">
        <v>575</v>
      </c>
      <c r="D31" s="410"/>
      <c r="E31" s="411" t="s">
        <v>297</v>
      </c>
      <c r="F31" s="412"/>
      <c r="G31" s="189"/>
      <c r="H31" s="193"/>
    </row>
    <row r="32" spans="1:8" ht="47.25" customHeight="1" x14ac:dyDescent="0.3">
      <c r="A32" s="187"/>
      <c r="B32" s="188"/>
      <c r="C32" s="409" t="s">
        <v>576</v>
      </c>
      <c r="D32" s="410"/>
      <c r="E32" s="411" t="s">
        <v>539</v>
      </c>
      <c r="F32" s="412"/>
      <c r="G32" s="189"/>
      <c r="H32" s="193"/>
    </row>
    <row r="33" spans="1:8" ht="50.25" customHeight="1" x14ac:dyDescent="0.3">
      <c r="A33" s="187"/>
      <c r="B33" s="188"/>
      <c r="C33" s="409" t="s">
        <v>577</v>
      </c>
      <c r="D33" s="410"/>
      <c r="E33" s="411" t="s">
        <v>540</v>
      </c>
      <c r="F33" s="412"/>
      <c r="G33" s="189"/>
      <c r="H33" s="193"/>
    </row>
    <row r="34" spans="1:8" ht="48.75" customHeight="1" x14ac:dyDescent="0.3">
      <c r="A34" s="187"/>
      <c r="B34" s="188"/>
      <c r="C34" s="409" t="s">
        <v>578</v>
      </c>
      <c r="D34" s="410"/>
      <c r="E34" s="411" t="s">
        <v>541</v>
      </c>
      <c r="F34" s="412"/>
      <c r="G34" s="189"/>
      <c r="H34" s="193"/>
    </row>
    <row r="35" spans="1:8" ht="60.75" customHeight="1" x14ac:dyDescent="0.3">
      <c r="A35" s="187"/>
      <c r="B35" s="188"/>
      <c r="C35" s="409" t="s">
        <v>156</v>
      </c>
      <c r="D35" s="410"/>
      <c r="E35" s="411" t="s">
        <v>579</v>
      </c>
      <c r="F35" s="412"/>
      <c r="G35" s="189"/>
      <c r="H35" s="193"/>
    </row>
    <row r="36" spans="1:8" ht="51" customHeight="1" x14ac:dyDescent="0.3">
      <c r="A36" s="187"/>
      <c r="B36" s="188"/>
      <c r="C36" s="409" t="s">
        <v>25</v>
      </c>
      <c r="D36" s="410"/>
      <c r="E36" s="411" t="s">
        <v>542</v>
      </c>
      <c r="F36" s="412"/>
      <c r="G36" s="189"/>
      <c r="H36" s="193"/>
    </row>
    <row r="37" spans="1:8" ht="118.5" customHeight="1" x14ac:dyDescent="0.3">
      <c r="A37" s="187"/>
      <c r="B37" s="188"/>
      <c r="C37" s="409" t="s">
        <v>580</v>
      </c>
      <c r="D37" s="410"/>
      <c r="E37" s="411" t="s">
        <v>543</v>
      </c>
      <c r="F37" s="412"/>
      <c r="G37" s="189"/>
      <c r="H37" s="193"/>
    </row>
    <row r="38" spans="1:8" ht="61.5" customHeight="1" thickBot="1" x14ac:dyDescent="0.35">
      <c r="A38" s="187"/>
      <c r="B38" s="188"/>
      <c r="C38" s="416" t="s">
        <v>29</v>
      </c>
      <c r="D38" s="417"/>
      <c r="E38" s="418" t="s">
        <v>544</v>
      </c>
      <c r="F38" s="419"/>
      <c r="G38" s="189"/>
      <c r="H38" s="193"/>
    </row>
    <row r="39" spans="1:8" ht="17.25" thickTop="1" x14ac:dyDescent="0.3">
      <c r="A39" s="187"/>
      <c r="B39" s="188"/>
      <c r="C39" s="194"/>
      <c r="D39" s="194"/>
      <c r="E39" s="195"/>
      <c r="F39" s="195"/>
      <c r="G39" s="189"/>
      <c r="H39" s="193"/>
    </row>
    <row r="40" spans="1:8" ht="21" hidden="1" customHeight="1" x14ac:dyDescent="0.25">
      <c r="A40" s="187"/>
      <c r="B40" s="413" t="s">
        <v>581</v>
      </c>
      <c r="C40" s="414"/>
      <c r="D40" s="414"/>
      <c r="E40" s="414"/>
      <c r="F40" s="414"/>
      <c r="G40" s="414"/>
      <c r="H40" s="415"/>
    </row>
    <row r="41" spans="1:8" ht="20.25" hidden="1" customHeight="1" x14ac:dyDescent="0.25">
      <c r="A41" s="187"/>
      <c r="B41" s="413" t="s">
        <v>582</v>
      </c>
      <c r="C41" s="414"/>
      <c r="D41" s="414"/>
      <c r="E41" s="414"/>
      <c r="F41" s="414"/>
      <c r="G41" s="414"/>
      <c r="H41" s="415"/>
    </row>
    <row r="42" spans="1:8" ht="20.25" hidden="1" customHeight="1" x14ac:dyDescent="0.25">
      <c r="A42" s="187"/>
      <c r="B42" s="413" t="s">
        <v>583</v>
      </c>
      <c r="C42" s="414"/>
      <c r="D42" s="414"/>
      <c r="E42" s="414"/>
      <c r="F42" s="414"/>
      <c r="G42" s="414"/>
      <c r="H42" s="415"/>
    </row>
    <row r="43" spans="1:8" ht="20.25" hidden="1" customHeight="1" x14ac:dyDescent="0.25">
      <c r="A43" s="187"/>
      <c r="B43" s="413" t="s">
        <v>584</v>
      </c>
      <c r="C43" s="414"/>
      <c r="D43" s="414"/>
      <c r="E43" s="414"/>
      <c r="F43" s="414"/>
      <c r="G43" s="414"/>
      <c r="H43" s="415"/>
    </row>
    <row r="44" spans="1:8" ht="16.5" hidden="1" x14ac:dyDescent="0.25">
      <c r="A44" s="187"/>
      <c r="B44" s="413" t="s">
        <v>585</v>
      </c>
      <c r="C44" s="414"/>
      <c r="D44" s="414"/>
      <c r="E44" s="414"/>
      <c r="F44" s="414"/>
      <c r="G44" s="414"/>
      <c r="H44" s="415"/>
    </row>
    <row r="45" spans="1:8" ht="17.25" thickBot="1" x14ac:dyDescent="0.35">
      <c r="A45" s="187"/>
      <c r="B45" s="196"/>
      <c r="C45" s="197"/>
      <c r="D45" s="197"/>
      <c r="E45" s="197"/>
      <c r="F45" s="197"/>
      <c r="G45" s="197"/>
      <c r="H45" s="198"/>
    </row>
  </sheetData>
  <mergeCells count="65">
    <mergeCell ref="B41:H41"/>
    <mergeCell ref="B42:H42"/>
    <mergeCell ref="B43:H43"/>
    <mergeCell ref="B44:H44"/>
    <mergeCell ref="C37:D37"/>
    <mergeCell ref="E37:F37"/>
    <mergeCell ref="C38:D38"/>
    <mergeCell ref="E38:F38"/>
    <mergeCell ref="B40:H40"/>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2:D22"/>
    <mergeCell ref="E22:F22"/>
    <mergeCell ref="C23:D23"/>
    <mergeCell ref="E23:F23"/>
    <mergeCell ref="C24:D24"/>
    <mergeCell ref="E24:F24"/>
    <mergeCell ref="C19:D19"/>
    <mergeCell ref="E19:F19"/>
    <mergeCell ref="C20:D20"/>
    <mergeCell ref="E20:F20"/>
    <mergeCell ref="C21:D21"/>
    <mergeCell ref="E21:F21"/>
    <mergeCell ref="C16:D16"/>
    <mergeCell ref="E16:F16"/>
    <mergeCell ref="C17:D17"/>
    <mergeCell ref="E17:F17"/>
    <mergeCell ref="C18:D18"/>
    <mergeCell ref="E18:F18"/>
    <mergeCell ref="B7:H8"/>
    <mergeCell ref="B9:H9"/>
    <mergeCell ref="B10:H10"/>
    <mergeCell ref="B12:H13"/>
    <mergeCell ref="C15:D15"/>
    <mergeCell ref="E15:F15"/>
    <mergeCell ref="B11:H11"/>
    <mergeCell ref="B6:H6"/>
    <mergeCell ref="B5:H5"/>
    <mergeCell ref="A1:B3"/>
    <mergeCell ref="C1:H1"/>
    <mergeCell ref="C2:H2"/>
    <mergeCell ref="C3:F3"/>
    <mergeCell ref="G3:H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100"/>
  <sheetViews>
    <sheetView tabSelected="1" topLeftCell="O54" zoomScale="80" zoomScaleNormal="80" workbookViewId="0">
      <selection activeCell="V56" sqref="V56"/>
    </sheetView>
  </sheetViews>
  <sheetFormatPr baseColWidth="10" defaultColWidth="11.42578125" defaultRowHeight="15" x14ac:dyDescent="0.2"/>
  <cols>
    <col min="1" max="1" width="6.42578125" style="249" customWidth="1"/>
    <col min="2" max="2" width="17.42578125" style="249" hidden="1" customWidth="1"/>
    <col min="3" max="4" width="41.42578125" style="255" customWidth="1"/>
    <col min="5" max="5" width="19.85546875" style="256" customWidth="1"/>
    <col min="6" max="6" width="72.28515625" style="256" customWidth="1"/>
    <col min="7" max="7" width="72.42578125" style="256" customWidth="1"/>
    <col min="8" max="8" width="78.140625" style="257" customWidth="1"/>
    <col min="9" max="9" width="27.85546875" style="258" customWidth="1"/>
    <col min="10" max="10" width="27" style="258" customWidth="1"/>
    <col min="11" max="11" width="17.85546875" style="182" customWidth="1"/>
    <col min="12" max="12" width="16.5703125" style="182" customWidth="1"/>
    <col min="13" max="13" width="9.28515625" style="182" customWidth="1"/>
    <col min="14" max="14" width="44" style="182" customWidth="1"/>
    <col min="15" max="15" width="15" style="182" customWidth="1"/>
    <col min="16" max="16" width="17.5703125" style="182" customWidth="1"/>
    <col min="17" max="17" width="9.7109375" style="182" customWidth="1"/>
    <col min="18" max="18" width="16" style="182" customWidth="1"/>
    <col min="19" max="19" width="5.85546875" style="182" customWidth="1"/>
    <col min="20" max="20" width="114.140625" style="257" customWidth="1"/>
    <col min="21" max="21" width="15.42578125" style="258" customWidth="1"/>
    <col min="22" max="22" width="15.140625" style="182" customWidth="1"/>
    <col min="23" max="23" width="6.85546875" style="182" customWidth="1"/>
    <col min="24" max="24" width="5" style="182" customWidth="1"/>
    <col min="25" max="25" width="5.5703125" style="182" customWidth="1"/>
    <col min="26" max="26" width="7.140625" style="182" customWidth="1"/>
    <col min="27" max="27" width="6.7109375" style="182" customWidth="1"/>
    <col min="28" max="28" width="7.5703125" style="182" customWidth="1"/>
    <col min="29" max="29" width="7.140625" style="182" customWidth="1"/>
    <col min="30" max="30" width="8.7109375" style="182" customWidth="1"/>
    <col min="31" max="31" width="10.42578125" style="182" customWidth="1"/>
    <col min="32" max="32" width="9.28515625" style="182" customWidth="1"/>
    <col min="33" max="33" width="9.140625" style="182" customWidth="1"/>
    <col min="34" max="34" width="8.42578125" style="182" customWidth="1"/>
    <col min="35" max="35" width="7.28515625" style="182" customWidth="1"/>
    <col min="36" max="36" width="10" style="182" customWidth="1"/>
    <col min="37" max="39" width="7.28515625" style="182" customWidth="1"/>
    <col min="40" max="40" width="7.28515625" style="182" hidden="1" customWidth="1"/>
    <col min="41" max="41" width="43.7109375" style="182" hidden="1" customWidth="1"/>
    <col min="42" max="42" width="28.85546875" style="182" hidden="1" customWidth="1"/>
    <col min="43" max="43" width="21" style="182" hidden="1" customWidth="1"/>
    <col min="44" max="44" width="22.140625" style="182" hidden="1" customWidth="1"/>
    <col min="45" max="45" width="25.85546875" style="182" hidden="1" customWidth="1"/>
    <col min="46" max="46" width="8.42578125" style="182" customWidth="1"/>
    <col min="47" max="47" width="23" style="182" customWidth="1"/>
    <col min="48" max="48" width="18.85546875" style="182" customWidth="1"/>
    <col min="49" max="49" width="18.5703125" style="182" customWidth="1"/>
    <col min="50" max="50" width="21" style="182" customWidth="1"/>
    <col min="51" max="16384" width="11.42578125" style="182"/>
  </cols>
  <sheetData>
    <row r="1" spans="1:78" ht="75.75" customHeight="1" thickBot="1" x14ac:dyDescent="0.25">
      <c r="A1" s="430" t="s">
        <v>1048</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1"/>
      <c r="AJ1" s="431"/>
      <c r="AK1" s="431"/>
      <c r="AL1" s="431"/>
      <c r="AM1" s="431"/>
      <c r="AN1" s="431"/>
      <c r="AO1" s="431"/>
      <c r="AP1" s="431"/>
      <c r="AQ1" s="431"/>
      <c r="AR1" s="431"/>
      <c r="AS1" s="432"/>
      <c r="AT1" s="316"/>
    </row>
    <row r="2" spans="1:78" ht="36" customHeight="1" thickBot="1" x14ac:dyDescent="0.25">
      <c r="A2" s="433" t="s">
        <v>186</v>
      </c>
      <c r="B2" s="434"/>
      <c r="C2" s="434"/>
      <c r="D2" s="434"/>
      <c r="E2" s="434"/>
      <c r="F2" s="434"/>
      <c r="G2" s="434"/>
      <c r="H2" s="434"/>
      <c r="I2" s="434"/>
      <c r="J2" s="434"/>
      <c r="K2" s="435"/>
      <c r="L2" s="436" t="s">
        <v>266</v>
      </c>
      <c r="M2" s="437"/>
      <c r="N2" s="437"/>
      <c r="O2" s="437"/>
      <c r="P2" s="437"/>
      <c r="Q2" s="437"/>
      <c r="R2" s="438"/>
      <c r="S2" s="436" t="s">
        <v>265</v>
      </c>
      <c r="T2" s="437"/>
      <c r="U2" s="437"/>
      <c r="V2" s="437"/>
      <c r="W2" s="437"/>
      <c r="X2" s="437"/>
      <c r="Y2" s="437"/>
      <c r="Z2" s="437"/>
      <c r="AA2" s="437"/>
      <c r="AB2" s="438"/>
      <c r="AC2" s="436" t="s">
        <v>264</v>
      </c>
      <c r="AD2" s="437"/>
      <c r="AE2" s="437"/>
      <c r="AF2" s="437"/>
      <c r="AG2" s="437"/>
      <c r="AH2" s="437"/>
      <c r="AI2" s="438"/>
      <c r="AJ2" s="436" t="s">
        <v>668</v>
      </c>
      <c r="AK2" s="437"/>
      <c r="AL2" s="437"/>
      <c r="AM2" s="437"/>
      <c r="AN2" s="438"/>
      <c r="AO2" s="439" t="s">
        <v>185</v>
      </c>
      <c r="AP2" s="440"/>
      <c r="AQ2" s="440"/>
      <c r="AR2" s="440"/>
      <c r="AS2" s="441"/>
    </row>
    <row r="3" spans="1:78" ht="21" customHeight="1" thickBot="1" x14ac:dyDescent="0.25">
      <c r="A3" s="442" t="s">
        <v>614</v>
      </c>
      <c r="B3" s="442" t="s">
        <v>752</v>
      </c>
      <c r="C3" s="442" t="s">
        <v>615</v>
      </c>
      <c r="D3" s="442" t="s">
        <v>616</v>
      </c>
      <c r="E3" s="442" t="s">
        <v>663</v>
      </c>
      <c r="F3" s="473" t="s">
        <v>625</v>
      </c>
      <c r="G3" s="474"/>
      <c r="H3" s="442" t="s">
        <v>184</v>
      </c>
      <c r="I3" s="442" t="s">
        <v>257</v>
      </c>
      <c r="J3" s="442" t="s">
        <v>666</v>
      </c>
      <c r="K3" s="442" t="s">
        <v>263</v>
      </c>
      <c r="L3" s="445" t="s">
        <v>262</v>
      </c>
      <c r="M3" s="445" t="s">
        <v>4</v>
      </c>
      <c r="N3" s="445" t="s">
        <v>261</v>
      </c>
      <c r="O3" s="482" t="s">
        <v>76</v>
      </c>
      <c r="P3" s="445" t="s">
        <v>260</v>
      </c>
      <c r="Q3" s="445" t="s">
        <v>4</v>
      </c>
      <c r="R3" s="445" t="s">
        <v>259</v>
      </c>
      <c r="S3" s="485" t="s">
        <v>10</v>
      </c>
      <c r="T3" s="479" t="s">
        <v>258</v>
      </c>
      <c r="U3" s="479" t="s">
        <v>667</v>
      </c>
      <c r="V3" s="479" t="s">
        <v>11</v>
      </c>
      <c r="W3" s="420" t="s">
        <v>7</v>
      </c>
      <c r="X3" s="421"/>
      <c r="Y3" s="422"/>
      <c r="Z3" s="421"/>
      <c r="AA3" s="421"/>
      <c r="AB3" s="423"/>
      <c r="AC3" s="424" t="s">
        <v>110</v>
      </c>
      <c r="AD3" s="427" t="s">
        <v>33</v>
      </c>
      <c r="AE3" s="427" t="s">
        <v>4</v>
      </c>
      <c r="AF3" s="427" t="s">
        <v>34</v>
      </c>
      <c r="AG3" s="427" t="s">
        <v>4</v>
      </c>
      <c r="AH3" s="427" t="s">
        <v>674</v>
      </c>
      <c r="AI3" s="460" t="s">
        <v>25</v>
      </c>
      <c r="AJ3" s="454" t="s">
        <v>669</v>
      </c>
      <c r="AK3" s="454" t="s">
        <v>790</v>
      </c>
      <c r="AL3" s="454" t="s">
        <v>791</v>
      </c>
      <c r="AM3" s="454" t="s">
        <v>792</v>
      </c>
      <c r="AN3" s="454"/>
      <c r="AO3" s="448" t="s">
        <v>182</v>
      </c>
      <c r="AP3" s="457" t="s">
        <v>670</v>
      </c>
      <c r="AQ3" s="448" t="s">
        <v>181</v>
      </c>
      <c r="AR3" s="448" t="s">
        <v>671</v>
      </c>
      <c r="AS3" s="451" t="s">
        <v>672</v>
      </c>
    </row>
    <row r="4" spans="1:78" ht="33.75" customHeight="1" thickBot="1" x14ac:dyDescent="0.25">
      <c r="A4" s="443"/>
      <c r="B4" s="443"/>
      <c r="C4" s="443"/>
      <c r="D4" s="443"/>
      <c r="E4" s="443"/>
      <c r="F4" s="475"/>
      <c r="G4" s="476"/>
      <c r="H4" s="443"/>
      <c r="I4" s="443"/>
      <c r="J4" s="443"/>
      <c r="K4" s="443"/>
      <c r="L4" s="446"/>
      <c r="M4" s="446"/>
      <c r="N4" s="446"/>
      <c r="O4" s="483"/>
      <c r="P4" s="446"/>
      <c r="Q4" s="446"/>
      <c r="R4" s="446"/>
      <c r="S4" s="486"/>
      <c r="T4" s="480"/>
      <c r="U4" s="480"/>
      <c r="V4" s="480"/>
      <c r="W4" s="468" t="s">
        <v>12</v>
      </c>
      <c r="X4" s="468" t="s">
        <v>16</v>
      </c>
      <c r="Y4" s="468" t="s">
        <v>24</v>
      </c>
      <c r="Z4" s="468" t="s">
        <v>17</v>
      </c>
      <c r="AA4" s="468" t="s">
        <v>20</v>
      </c>
      <c r="AB4" s="471" t="s">
        <v>23</v>
      </c>
      <c r="AC4" s="425"/>
      <c r="AD4" s="428"/>
      <c r="AE4" s="428"/>
      <c r="AF4" s="428"/>
      <c r="AG4" s="428"/>
      <c r="AH4" s="428"/>
      <c r="AI4" s="461"/>
      <c r="AJ4" s="455"/>
      <c r="AK4" s="455"/>
      <c r="AL4" s="455"/>
      <c r="AM4" s="455"/>
      <c r="AN4" s="455"/>
      <c r="AO4" s="449"/>
      <c r="AP4" s="458"/>
      <c r="AQ4" s="449"/>
      <c r="AR4" s="449"/>
      <c r="AS4" s="452"/>
    </row>
    <row r="5" spans="1:78" ht="26.25" customHeight="1" x14ac:dyDescent="0.2">
      <c r="A5" s="443"/>
      <c r="B5" s="443"/>
      <c r="C5" s="443"/>
      <c r="D5" s="443"/>
      <c r="E5" s="443"/>
      <c r="F5" s="442" t="s">
        <v>664</v>
      </c>
      <c r="G5" s="477" t="s">
        <v>665</v>
      </c>
      <c r="H5" s="443"/>
      <c r="I5" s="443"/>
      <c r="J5" s="443"/>
      <c r="K5" s="443"/>
      <c r="L5" s="446"/>
      <c r="M5" s="446"/>
      <c r="N5" s="446"/>
      <c r="O5" s="483"/>
      <c r="P5" s="446"/>
      <c r="Q5" s="446"/>
      <c r="R5" s="446"/>
      <c r="S5" s="486"/>
      <c r="T5" s="480"/>
      <c r="U5" s="480"/>
      <c r="V5" s="480"/>
      <c r="W5" s="469"/>
      <c r="X5" s="469"/>
      <c r="Y5" s="469"/>
      <c r="Z5" s="469"/>
      <c r="AA5" s="469"/>
      <c r="AB5" s="471"/>
      <c r="AC5" s="425"/>
      <c r="AD5" s="428"/>
      <c r="AE5" s="428"/>
      <c r="AF5" s="428"/>
      <c r="AG5" s="428"/>
      <c r="AH5" s="428"/>
      <c r="AI5" s="461"/>
      <c r="AJ5" s="455"/>
      <c r="AK5" s="455"/>
      <c r="AL5" s="455"/>
      <c r="AM5" s="455"/>
      <c r="AN5" s="455"/>
      <c r="AO5" s="449"/>
      <c r="AP5" s="458"/>
      <c r="AQ5" s="449"/>
      <c r="AR5" s="449"/>
      <c r="AS5" s="452"/>
    </row>
    <row r="6" spans="1:78" s="250" customFormat="1" ht="21.75" customHeight="1" thickBot="1" x14ac:dyDescent="0.3">
      <c r="A6" s="444"/>
      <c r="B6" s="444"/>
      <c r="C6" s="444"/>
      <c r="D6" s="444"/>
      <c r="E6" s="444"/>
      <c r="F6" s="444"/>
      <c r="G6" s="478"/>
      <c r="H6" s="444"/>
      <c r="I6" s="444"/>
      <c r="J6" s="444"/>
      <c r="K6" s="444"/>
      <c r="L6" s="447"/>
      <c r="M6" s="447"/>
      <c r="N6" s="447"/>
      <c r="O6" s="484"/>
      <c r="P6" s="447"/>
      <c r="Q6" s="447"/>
      <c r="R6" s="447"/>
      <c r="S6" s="487"/>
      <c r="T6" s="481"/>
      <c r="U6" s="481"/>
      <c r="V6" s="481"/>
      <c r="W6" s="470"/>
      <c r="X6" s="470"/>
      <c r="Y6" s="470"/>
      <c r="Z6" s="470"/>
      <c r="AA6" s="470"/>
      <c r="AB6" s="472"/>
      <c r="AC6" s="426"/>
      <c r="AD6" s="429"/>
      <c r="AE6" s="429"/>
      <c r="AF6" s="429"/>
      <c r="AG6" s="429"/>
      <c r="AH6" s="429"/>
      <c r="AI6" s="462"/>
      <c r="AJ6" s="456"/>
      <c r="AK6" s="456"/>
      <c r="AL6" s="456"/>
      <c r="AM6" s="456"/>
      <c r="AN6" s="456"/>
      <c r="AO6" s="450"/>
      <c r="AP6" s="459"/>
      <c r="AQ6" s="450"/>
      <c r="AR6" s="450"/>
      <c r="AS6" s="453"/>
      <c r="AT6" s="249"/>
      <c r="AU6" s="249"/>
      <c r="AV6" s="249"/>
      <c r="AW6" s="249"/>
      <c r="AX6" s="249"/>
      <c r="AY6" s="249"/>
      <c r="AZ6" s="249"/>
      <c r="BA6" s="249"/>
      <c r="BB6" s="249"/>
      <c r="BC6" s="249"/>
      <c r="BD6" s="249"/>
      <c r="BE6" s="249"/>
      <c r="BF6" s="249"/>
      <c r="BG6" s="249"/>
      <c r="BH6" s="249"/>
      <c r="BI6" s="249"/>
      <c r="BJ6" s="249"/>
      <c r="BK6" s="249"/>
      <c r="BL6" s="249"/>
      <c r="BM6" s="249"/>
      <c r="BN6" s="249"/>
      <c r="BO6" s="249"/>
      <c r="BP6" s="249"/>
      <c r="BQ6" s="249"/>
      <c r="BR6" s="249"/>
      <c r="BS6" s="249"/>
      <c r="BT6" s="249"/>
      <c r="BU6" s="249"/>
      <c r="BV6" s="249"/>
      <c r="BW6" s="249"/>
      <c r="BX6" s="249"/>
      <c r="BY6" s="249"/>
      <c r="BZ6" s="249"/>
    </row>
    <row r="7" spans="1:78" ht="135.94999999999999" customHeight="1" x14ac:dyDescent="0.2">
      <c r="A7" s="463" t="s">
        <v>686</v>
      </c>
      <c r="B7" s="464" t="s">
        <v>753</v>
      </c>
      <c r="C7" s="465" t="s">
        <v>590</v>
      </c>
      <c r="D7" s="466" t="s">
        <v>619</v>
      </c>
      <c r="E7" s="466" t="s">
        <v>107</v>
      </c>
      <c r="F7" s="494" t="s">
        <v>1044</v>
      </c>
      <c r="G7" s="494" t="s">
        <v>1081</v>
      </c>
      <c r="H7" s="467" t="s">
        <v>1053</v>
      </c>
      <c r="I7" s="492" t="s">
        <v>654</v>
      </c>
      <c r="J7" s="497" t="s">
        <v>1045</v>
      </c>
      <c r="K7" s="493">
        <v>240</v>
      </c>
      <c r="L7" s="509" t="s">
        <v>91</v>
      </c>
      <c r="M7" s="488">
        <v>0.6</v>
      </c>
      <c r="N7" s="489" t="s">
        <v>122</v>
      </c>
      <c r="O7" s="488" t="s">
        <v>122</v>
      </c>
      <c r="P7" s="512" t="s">
        <v>6</v>
      </c>
      <c r="Q7" s="488">
        <v>0.8</v>
      </c>
      <c r="R7" s="513" t="s">
        <v>66</v>
      </c>
      <c r="S7" s="235">
        <v>1</v>
      </c>
      <c r="T7" s="323" t="s">
        <v>1046</v>
      </c>
      <c r="U7" s="305" t="s">
        <v>293</v>
      </c>
      <c r="V7" s="307" t="s">
        <v>3</v>
      </c>
      <c r="W7" s="259" t="s">
        <v>13</v>
      </c>
      <c r="X7" s="259" t="s">
        <v>8</v>
      </c>
      <c r="Y7" s="260" t="s">
        <v>1036</v>
      </c>
      <c r="Z7" s="259" t="s">
        <v>18</v>
      </c>
      <c r="AA7" s="259" t="s">
        <v>21</v>
      </c>
      <c r="AB7" s="259" t="s">
        <v>103</v>
      </c>
      <c r="AC7" s="261">
        <v>0.36</v>
      </c>
      <c r="AD7" s="262" t="str">
        <f t="shared" ref="AD7:AD10" si="0">IFERROR(IF(AC7="","",IF(AC7&lt;=0.2,"Muy Baja",IF(AC7&lt;=0.4,"Baja",IF(AC7&lt;=0.6,"Media",IF(AC7&lt;=0.8,"Alta","Muy Alta"))))),"")</f>
        <v>Baja</v>
      </c>
      <c r="AE7" s="260">
        <v>0.36</v>
      </c>
      <c r="AF7" s="262" t="s">
        <v>6</v>
      </c>
      <c r="AG7" s="260">
        <v>0.8</v>
      </c>
      <c r="AH7" s="264" t="s">
        <v>66</v>
      </c>
      <c r="AI7" s="259" t="s">
        <v>26</v>
      </c>
      <c r="AJ7" s="235">
        <v>1</v>
      </c>
      <c r="AK7" s="235">
        <v>0</v>
      </c>
      <c r="AL7" s="235">
        <v>0</v>
      </c>
      <c r="AM7" s="235">
        <v>1</v>
      </c>
      <c r="AN7" s="235"/>
    </row>
    <row r="8" spans="1:78" ht="107.45" customHeight="1" x14ac:dyDescent="0.2">
      <c r="A8" s="463"/>
      <c r="B8" s="464"/>
      <c r="C8" s="465"/>
      <c r="D8" s="466"/>
      <c r="E8" s="466"/>
      <c r="F8" s="494"/>
      <c r="G8" s="494"/>
      <c r="H8" s="467"/>
      <c r="I8" s="492"/>
      <c r="J8" s="497"/>
      <c r="K8" s="493"/>
      <c r="L8" s="510"/>
      <c r="M8" s="488"/>
      <c r="N8" s="489"/>
      <c r="O8" s="488">
        <v>0</v>
      </c>
      <c r="P8" s="512"/>
      <c r="Q8" s="488"/>
      <c r="R8" s="514"/>
      <c r="S8" s="235">
        <v>2</v>
      </c>
      <c r="T8" s="322" t="s">
        <v>687</v>
      </c>
      <c r="U8" s="305" t="s">
        <v>293</v>
      </c>
      <c r="V8" s="307" t="s">
        <v>3</v>
      </c>
      <c r="W8" s="259" t="s">
        <v>13</v>
      </c>
      <c r="X8" s="259" t="s">
        <v>8</v>
      </c>
      <c r="Y8" s="260" t="s">
        <v>1036</v>
      </c>
      <c r="Z8" s="259" t="s">
        <v>18</v>
      </c>
      <c r="AA8" s="259" t="s">
        <v>21</v>
      </c>
      <c r="AB8" s="259" t="s">
        <v>103</v>
      </c>
      <c r="AC8" s="261">
        <v>0.216</v>
      </c>
      <c r="AD8" s="262" t="str">
        <f t="shared" si="0"/>
        <v>Baja</v>
      </c>
      <c r="AE8" s="260">
        <v>0.216</v>
      </c>
      <c r="AF8" s="262" t="s">
        <v>6</v>
      </c>
      <c r="AG8" s="260">
        <v>0.8</v>
      </c>
      <c r="AH8" s="264" t="s">
        <v>66</v>
      </c>
      <c r="AI8" s="259" t="s">
        <v>26</v>
      </c>
      <c r="AJ8" s="235">
        <v>2</v>
      </c>
      <c r="AK8" s="235">
        <v>0</v>
      </c>
      <c r="AL8" s="235">
        <v>1</v>
      </c>
      <c r="AM8" s="235">
        <v>1</v>
      </c>
      <c r="AN8" s="235"/>
    </row>
    <row r="9" spans="1:78" ht="114" x14ac:dyDescent="0.2">
      <c r="A9" s="463"/>
      <c r="B9" s="464"/>
      <c r="C9" s="465"/>
      <c r="D9" s="466"/>
      <c r="E9" s="466"/>
      <c r="F9" s="494"/>
      <c r="G9" s="494"/>
      <c r="H9" s="467"/>
      <c r="I9" s="492"/>
      <c r="J9" s="497"/>
      <c r="K9" s="493"/>
      <c r="L9" s="510"/>
      <c r="M9" s="488"/>
      <c r="N9" s="489"/>
      <c r="O9" s="488">
        <v>0</v>
      </c>
      <c r="P9" s="512"/>
      <c r="Q9" s="488"/>
      <c r="R9" s="514"/>
      <c r="S9" s="235">
        <v>3</v>
      </c>
      <c r="T9" s="322" t="s">
        <v>688</v>
      </c>
      <c r="U9" s="305" t="s">
        <v>293</v>
      </c>
      <c r="V9" s="307" t="s">
        <v>3</v>
      </c>
      <c r="W9" s="259" t="s">
        <v>13</v>
      </c>
      <c r="X9" s="259" t="s">
        <v>8</v>
      </c>
      <c r="Y9" s="260" t="s">
        <v>1036</v>
      </c>
      <c r="Z9" s="259" t="s">
        <v>18</v>
      </c>
      <c r="AA9" s="259" t="s">
        <v>21</v>
      </c>
      <c r="AB9" s="259" t="s">
        <v>103</v>
      </c>
      <c r="AC9" s="261">
        <v>0.12959999999999999</v>
      </c>
      <c r="AD9" s="262" t="str">
        <f t="shared" si="0"/>
        <v>Muy Baja</v>
      </c>
      <c r="AE9" s="260">
        <v>0.12959999999999999</v>
      </c>
      <c r="AF9" s="262" t="s">
        <v>6</v>
      </c>
      <c r="AG9" s="260">
        <v>0.8</v>
      </c>
      <c r="AH9" s="264" t="s">
        <v>66</v>
      </c>
      <c r="AI9" s="259" t="s">
        <v>26</v>
      </c>
      <c r="AJ9" s="235">
        <v>1</v>
      </c>
      <c r="AK9" s="235">
        <v>0</v>
      </c>
      <c r="AL9" s="235">
        <v>1</v>
      </c>
      <c r="AM9" s="235">
        <v>0</v>
      </c>
      <c r="AN9" s="235"/>
    </row>
    <row r="10" spans="1:78" ht="99.75" x14ac:dyDescent="0.2">
      <c r="A10" s="463"/>
      <c r="B10" s="464"/>
      <c r="C10" s="465"/>
      <c r="D10" s="466"/>
      <c r="E10" s="466"/>
      <c r="F10" s="494"/>
      <c r="G10" s="494"/>
      <c r="H10" s="467"/>
      <c r="I10" s="492"/>
      <c r="J10" s="497"/>
      <c r="K10" s="493"/>
      <c r="L10" s="511"/>
      <c r="M10" s="488"/>
      <c r="N10" s="489"/>
      <c r="O10" s="488">
        <v>0</v>
      </c>
      <c r="P10" s="512"/>
      <c r="Q10" s="488"/>
      <c r="R10" s="515"/>
      <c r="S10" s="235">
        <v>4</v>
      </c>
      <c r="T10" s="322" t="s">
        <v>1037</v>
      </c>
      <c r="U10" s="305" t="s">
        <v>293</v>
      </c>
      <c r="V10" s="307" t="s">
        <v>3</v>
      </c>
      <c r="W10" s="259" t="s">
        <v>13</v>
      </c>
      <c r="X10" s="259" t="s">
        <v>8</v>
      </c>
      <c r="Y10" s="260" t="s">
        <v>1036</v>
      </c>
      <c r="Z10" s="259" t="s">
        <v>19</v>
      </c>
      <c r="AA10" s="259" t="s">
        <v>21</v>
      </c>
      <c r="AB10" s="259" t="s">
        <v>103</v>
      </c>
      <c r="AC10" s="261">
        <v>7.7759999999999996E-2</v>
      </c>
      <c r="AD10" s="262" t="str">
        <f t="shared" si="0"/>
        <v>Muy Baja</v>
      </c>
      <c r="AE10" s="260">
        <v>7.7759999999999996E-2</v>
      </c>
      <c r="AF10" s="262" t="s">
        <v>6</v>
      </c>
      <c r="AG10" s="260">
        <v>0.8</v>
      </c>
      <c r="AH10" s="264" t="s">
        <v>66</v>
      </c>
      <c r="AI10" s="259" t="s">
        <v>26</v>
      </c>
      <c r="AJ10" s="236">
        <v>2</v>
      </c>
      <c r="AK10" s="236">
        <v>0</v>
      </c>
      <c r="AL10" s="236">
        <v>1</v>
      </c>
      <c r="AM10" s="236">
        <v>1</v>
      </c>
      <c r="AN10" s="247"/>
    </row>
    <row r="11" spans="1:78" s="252" customFormat="1" ht="106.5" customHeight="1" x14ac:dyDescent="0.2">
      <c r="A11" s="463" t="s">
        <v>784</v>
      </c>
      <c r="B11" s="464" t="s">
        <v>753</v>
      </c>
      <c r="C11" s="465" t="s">
        <v>592</v>
      </c>
      <c r="D11" s="466" t="s">
        <v>624</v>
      </c>
      <c r="E11" s="466" t="s">
        <v>109</v>
      </c>
      <c r="F11" s="467" t="s">
        <v>873</v>
      </c>
      <c r="G11" s="467" t="s">
        <v>673</v>
      </c>
      <c r="H11" s="467" t="s">
        <v>872</v>
      </c>
      <c r="I11" s="492" t="s">
        <v>654</v>
      </c>
      <c r="J11" s="492" t="s">
        <v>785</v>
      </c>
      <c r="K11" s="493">
        <v>400</v>
      </c>
      <c r="L11" s="490" t="str">
        <f t="shared" ref="L11" si="1">IF(K11&lt;=0,"",IF(K11&lt;=2,"Muy Baja",IF(K11&lt;=24,"Baja",IF(K11&lt;=500,"Media",IF(K11&lt;=5000,"Alta","Muy Alta")))))</f>
        <v>Media</v>
      </c>
      <c r="M11" s="488">
        <f>IF(L11="","",IF(L11="Muy Baja",0.2,IF(L11="Baja",0.4,IF(L11="Media",0.6,IF(L11="Alta",0.8,IF(L11="Muy Alta",1,))))))</f>
        <v>0.6</v>
      </c>
      <c r="N11" s="489" t="s">
        <v>122</v>
      </c>
      <c r="O11" s="248" t="str">
        <f>IF(NOT(ISERROR(MATCH(N11,'Tabla Impacto'!$B$221:$B$223,0))),'Tabla Impacto'!$F$223&amp;"Por favor no seleccionar los criterios de impacto(Afectación Económica o presupuestal y Pérdida Reputacional)",N11)</f>
        <v xml:space="preserve">     El riesgo afecta la imagen de de la entidad con efecto publicitario sostenido a nivel de sector administrativo, nivel departamental o municipal</v>
      </c>
      <c r="P11" s="490" t="str">
        <f>IF(OR(O11='Tabla Impacto'!$C$11,O11='Tabla Impacto'!$D$11),"Leve",IF(OR(O11='Tabla Impacto'!$C$12,O11='Tabla Impacto'!$D$12),"Menor",IF(OR(O11='Tabla Impacto'!$C$13,O11='Tabla Impacto'!$D$13),"Moderado",IF(OR(O11='Tabla Impacto'!$C$14,O11='Tabla Impacto'!$D$14),"Mayor",IF(OR(O11='Tabla Impacto'!$C$15,O11='Tabla Impacto'!$D$15),"Catastrófico","")))))</f>
        <v>Mayor</v>
      </c>
      <c r="Q11" s="488">
        <f>IF(P11="","",IF(P11="Leve",0.2,IF(P11="Menor",0.4,IF(P11="Moderado",0.6,IF(P11="Mayor",0.8,IF(P11="Catastrófico",1,))))))</f>
        <v>0.8</v>
      </c>
      <c r="R11" s="491" t="str">
        <f>IF(OR(AND(L11="Muy Baja",P11="Leve"),AND(L11="Muy Baja",P11="Menor"),AND(L11="Baja",P11="Leve")),"Bajo",IF(OR(AND(L11="Muy baja",P11="Moderado"),AND(L11="Baja",P11="Menor"),AND(L11="Baja",P11="Moderado"),AND(L11="Media",P11="Leve"),AND(L11="Media",P11="Menor"),AND(L11="Media",P11="Moderado"),AND(L11="Alta",P11="Leve"),AND(L11="Alta",P11="Menor")),"Moderado",IF(OR(AND(L11="Muy Baja",P11="Mayor"),AND(L11="Baja",P11="Mayor"),AND(L11="Media",P11="Mayor"),AND(L11="Alta",P11="Moderado"),AND(L11="Alta",P11="Mayor"),AND(L11="Muy Alta",P11="Leve"),AND(L11="Muy Alta",P11="Menor"),AND(L11="Muy Alta",P11="Moderado"),AND(L11="Muy Alta",P11="Mayor")),"Alto",IF(OR(AND(L11="Muy Baja",P11="Catastrófico"),AND(L11="Baja",P11="Catastrófico"),AND(L11="Media",P11="Catastrófico"),AND(L11="Alta",P11="Catastrófico"),AND(L11="Muy Alta",P11="Catastrófico")),"Extremo",""))))</f>
        <v>Alto</v>
      </c>
      <c r="S11" s="235">
        <v>1</v>
      </c>
      <c r="T11" s="322" t="s">
        <v>786</v>
      </c>
      <c r="U11" s="305" t="s">
        <v>293</v>
      </c>
      <c r="V11" s="307" t="str">
        <f t="shared" ref="V11:V16" si="2">IF(OR(W11="Preventivo",W11="Detectivo"),"Probabilidad",IF(W11="Correctivo","Impacto",""))</f>
        <v>Probabilidad</v>
      </c>
      <c r="W11" s="259" t="s">
        <v>13</v>
      </c>
      <c r="X11" s="259" t="s">
        <v>8</v>
      </c>
      <c r="Y11" s="260" t="str">
        <f t="shared" ref="Y11:Y19" si="3">IF(AND(W11="Preventivo",X11="Automático"),"50%",IF(AND(W11="Preventivo",X11="Manual"),"40%",IF(AND(W11="Detectivo",X11="Automático"),"40%",IF(AND(W11="Detectivo",X11="Manual"),"30%",IF(AND(W11="Correctivo",X11="Automático"),"35%",IF(AND(W11="Correctivo",X11="Manual"),"25%",""))))))</f>
        <v>40%</v>
      </c>
      <c r="Z11" s="259" t="s">
        <v>19</v>
      </c>
      <c r="AA11" s="259" t="s">
        <v>21</v>
      </c>
      <c r="AB11" s="259" t="s">
        <v>103</v>
      </c>
      <c r="AC11" s="261">
        <f t="shared" ref="AC11" si="4">IFERROR(IF(V11="Probabilidad",(M11-(+M11*Y11)),IF(V11="Impacto",M11,"")),"")</f>
        <v>0.36</v>
      </c>
      <c r="AD11" s="262" t="str">
        <f>IFERROR(IF(AC11="","",IF(AC11&lt;=0.2,"Muy Baja",IF(AC11&lt;=0.4,"Baja",IF(AC11&lt;=0.6,"Media",IF(AC11&lt;=0.8,"Alta","Muy Alta"))))),"")</f>
        <v>Baja</v>
      </c>
      <c r="AE11" s="260">
        <f>+AC11</f>
        <v>0.36</v>
      </c>
      <c r="AF11" s="262" t="str">
        <f>IFERROR(IF(AG11="","",IF(AG11&lt;=0.2,"Leve",IF(AG11&lt;=0.4,"Menor",IF(AG11&lt;=0.6,"Moderado",IF(AG11&lt;=0.8,"Mayor","Catastrófico"))))),"")</f>
        <v>Mayor</v>
      </c>
      <c r="AG11" s="260">
        <f>IFERROR(IF(V11="Impacto",(Q11-(+Q11*Y11)),IF(V11="Probabilidad",Q11,"")),"")</f>
        <v>0.8</v>
      </c>
      <c r="AH11" s="264" t="str">
        <f>IFERROR(IF(OR(AND(AD11="Muy Baja",AF11="Leve"),AND(AD11="Muy Baja",AF11="Menor"),AND(AD11="Baja",AF11="Leve")),"Bajo",IF(OR(AND(AD11="Muy baja",AF11="Moderado"),AND(AD11="Baja",AF11="Menor"),AND(AD11="Baja",AF11="Moderado"),AND(AD11="Media",AF11="Leve"),AND(AD11="Media",AF11="Menor"),AND(AD11="Media",AF11="Moderado"),AND(AD11="Alta",AF11="Leve"),AND(AD11="Alta",AF11="Menor")),"Moderado",IF(OR(AND(AD11="Muy Baja",AF11="Mayor"),AND(AD11="Baja",AF11="Mayor"),AND(AD11="Media",AF11="Mayor"),AND(AD11="Alta",AF11="Moderado"),AND(AD11="Alta",AF11="Mayor"),AND(AD11="Muy Alta",AF11="Leve"),AND(AD11="Muy Alta",AF11="Menor"),AND(AD11="Muy Alta",AF11="Moderado"),AND(AD11="Muy Alta",AF11="Mayor")),"Alto",IF(OR(AND(AD11="Muy Baja",AF11="Catastrófico"),AND(AD11="Baja",AF11="Catastrófico"),AND(AD11="Media",AF11="Catastrófico"),AND(AD11="Alta",AF11="Catastrófico"),AND(AD11="Muy Alta",AF11="Catastrófico")),"Extremo","")))),"")</f>
        <v>Alto</v>
      </c>
      <c r="AI11" s="259" t="s">
        <v>26</v>
      </c>
      <c r="AJ11" s="236">
        <v>4</v>
      </c>
      <c r="AK11" s="236">
        <v>1</v>
      </c>
      <c r="AL11" s="236">
        <v>1</v>
      </c>
      <c r="AM11" s="236">
        <v>2</v>
      </c>
      <c r="AN11" s="232"/>
      <c r="AO11" s="237"/>
      <c r="AP11" s="237"/>
      <c r="AQ11" s="231"/>
      <c r="AR11" s="239"/>
      <c r="AS11" s="240"/>
      <c r="AT11" s="182"/>
      <c r="AU11" s="251"/>
      <c r="AV11" s="251"/>
      <c r="AW11" s="251"/>
      <c r="AX11" s="251"/>
      <c r="AY11" s="251"/>
      <c r="AZ11" s="251"/>
      <c r="BA11" s="251"/>
      <c r="BB11" s="251"/>
      <c r="BC11" s="251"/>
      <c r="BD11" s="251"/>
      <c r="BE11" s="251"/>
      <c r="BF11" s="251"/>
      <c r="BG11" s="251"/>
      <c r="BH11" s="251"/>
      <c r="BI11" s="251"/>
      <c r="BJ11" s="251"/>
      <c r="BK11" s="251"/>
      <c r="BL11" s="251"/>
      <c r="BM11" s="251"/>
      <c r="BN11" s="251"/>
      <c r="BO11" s="251"/>
      <c r="BP11" s="251"/>
      <c r="BQ11" s="251"/>
      <c r="BR11" s="251"/>
      <c r="BS11" s="251"/>
      <c r="BT11" s="251"/>
      <c r="BU11" s="251"/>
      <c r="BV11" s="251"/>
      <c r="BW11" s="251"/>
      <c r="BX11" s="251"/>
      <c r="BY11" s="251"/>
      <c r="BZ11" s="251"/>
    </row>
    <row r="12" spans="1:78" s="251" customFormat="1" ht="99.75" x14ac:dyDescent="0.2">
      <c r="A12" s="463"/>
      <c r="B12" s="464"/>
      <c r="C12" s="465"/>
      <c r="D12" s="466"/>
      <c r="E12" s="466"/>
      <c r="F12" s="467"/>
      <c r="G12" s="467"/>
      <c r="H12" s="467"/>
      <c r="I12" s="492"/>
      <c r="J12" s="492"/>
      <c r="K12" s="493"/>
      <c r="L12" s="490"/>
      <c r="M12" s="488"/>
      <c r="N12" s="489"/>
      <c r="O12" s="248">
        <f>IF(NOT(ISERROR(MATCH(N12,_xlfn.ANCHORARRAY(#REF!),0))),#REF!&amp;"Por favor no seleccionar los criterios de impacto",N12)</f>
        <v>0</v>
      </c>
      <c r="P12" s="490"/>
      <c r="Q12" s="488"/>
      <c r="R12" s="491"/>
      <c r="S12" s="235">
        <v>2</v>
      </c>
      <c r="T12" s="322" t="s">
        <v>812</v>
      </c>
      <c r="U12" s="305" t="s">
        <v>293</v>
      </c>
      <c r="V12" s="307" t="str">
        <f t="shared" si="2"/>
        <v>Impacto</v>
      </c>
      <c r="W12" s="259" t="s">
        <v>15</v>
      </c>
      <c r="X12" s="259" t="s">
        <v>8</v>
      </c>
      <c r="Y12" s="260" t="str">
        <f t="shared" si="3"/>
        <v>25%</v>
      </c>
      <c r="Z12" s="259" t="s">
        <v>18</v>
      </c>
      <c r="AA12" s="259" t="s">
        <v>21</v>
      </c>
      <c r="AB12" s="259" t="s">
        <v>103</v>
      </c>
      <c r="AC12" s="261">
        <v>0.36</v>
      </c>
      <c r="AD12" s="262" t="s">
        <v>39</v>
      </c>
      <c r="AE12" s="260">
        <v>0.36</v>
      </c>
      <c r="AF12" s="262" t="s">
        <v>6</v>
      </c>
      <c r="AG12" s="260">
        <v>0.8</v>
      </c>
      <c r="AH12" s="264" t="s">
        <v>66</v>
      </c>
      <c r="AI12" s="259" t="s">
        <v>26</v>
      </c>
      <c r="AJ12" s="236">
        <v>2</v>
      </c>
      <c r="AK12" s="236">
        <v>0</v>
      </c>
      <c r="AL12" s="236">
        <v>1</v>
      </c>
      <c r="AM12" s="236">
        <v>1</v>
      </c>
      <c r="AN12" s="247"/>
      <c r="AO12" s="246"/>
      <c r="AP12" s="246"/>
      <c r="AQ12" s="245"/>
      <c r="AR12" s="238"/>
      <c r="AS12" s="246"/>
      <c r="AT12" s="182"/>
    </row>
    <row r="13" spans="1:78" s="251" customFormat="1" ht="99.75" x14ac:dyDescent="0.2">
      <c r="A13" s="463"/>
      <c r="B13" s="464"/>
      <c r="C13" s="465"/>
      <c r="D13" s="466"/>
      <c r="E13" s="466"/>
      <c r="F13" s="467"/>
      <c r="G13" s="467"/>
      <c r="H13" s="467"/>
      <c r="I13" s="492"/>
      <c r="J13" s="492"/>
      <c r="K13" s="493"/>
      <c r="L13" s="490"/>
      <c r="M13" s="488"/>
      <c r="N13" s="489"/>
      <c r="O13" s="248">
        <f>IF(NOT(ISERROR(MATCH(N13,_xlfn.ANCHORARRAY(#REF!),0))),#REF!&amp;"Por favor no seleccionar los criterios de impacto",N13)</f>
        <v>0</v>
      </c>
      <c r="P13" s="490"/>
      <c r="Q13" s="488"/>
      <c r="R13" s="491"/>
      <c r="S13" s="235">
        <v>3</v>
      </c>
      <c r="T13" s="322" t="s">
        <v>874</v>
      </c>
      <c r="U13" s="305" t="s">
        <v>293</v>
      </c>
      <c r="V13" s="307" t="str">
        <f t="shared" si="2"/>
        <v>Probabilidad</v>
      </c>
      <c r="W13" s="259" t="s">
        <v>13</v>
      </c>
      <c r="X13" s="259" t="s">
        <v>8</v>
      </c>
      <c r="Y13" s="260" t="str">
        <f t="shared" si="3"/>
        <v>40%</v>
      </c>
      <c r="Z13" s="259" t="s">
        <v>19</v>
      </c>
      <c r="AA13" s="259" t="s">
        <v>21</v>
      </c>
      <c r="AB13" s="259" t="s">
        <v>103</v>
      </c>
      <c r="AC13" s="261">
        <f t="shared" ref="AC13" si="5">IFERROR(IF(AND(V12="Probabilidad",V13="Probabilidad"),(AE12-(+AE12*Y13)),IF(AND(V12="Impacto",V13="Probabilidad"),(AE11-(+AE11*Y13)),IF(V13="Impacto",AE12,""))),"")</f>
        <v>0.216</v>
      </c>
      <c r="AD13" s="262" t="str">
        <f t="shared" ref="AD13" si="6">IFERROR(IF(AC13="","",IF(AC13&lt;=0.2,"Muy Baja",IF(AC13&lt;=0.4,"Baja",IF(AC13&lt;=0.6,"Media",IF(AC13&lt;=0.8,"Alta","Muy Alta"))))),"")</f>
        <v>Baja</v>
      </c>
      <c r="AE13" s="260">
        <f t="shared" ref="AE13" si="7">+AC13</f>
        <v>0.216</v>
      </c>
      <c r="AF13" s="262" t="str">
        <f t="shared" ref="AF13" si="8">IFERROR(IF(AG13="","",IF(AG13&lt;=0.2,"Leve",IF(AG13&lt;=0.4,"Menor",IF(AG13&lt;=0.6,"Moderado",IF(AG13&lt;=0.8,"Mayor","Catastrófico"))))),"")</f>
        <v>Mayor</v>
      </c>
      <c r="AG13" s="260">
        <f>IFERROR(IF(AND(V12="Impacto",V13="Impacto"),(AG12-(+AG12*Y13)),IF(V13="Impacto",(#REF!-(+#REF!*Y13)),IF(V13="Probabilidad",AG12,""))),"")</f>
        <v>0.8</v>
      </c>
      <c r="AH13" s="264" t="str">
        <f t="shared" ref="AH13" si="9">IFERROR(IF(OR(AND(AD13="Muy Baja",AF13="Leve"),AND(AD13="Muy Baja",AF13="Menor"),AND(AD13="Baja",AF13="Leve")),"Bajo",IF(OR(AND(AD13="Muy baja",AF13="Moderado"),AND(AD13="Baja",AF13="Menor"),AND(AD13="Baja",AF13="Moderado"),AND(AD13="Media",AF13="Leve"),AND(AD13="Media",AF13="Menor"),AND(AD13="Media",AF13="Moderado"),AND(AD13="Alta",AF13="Leve"),AND(AD13="Alta",AF13="Menor")),"Moderado",IF(OR(AND(AD13="Muy Baja",AF13="Mayor"),AND(AD13="Baja",AF13="Mayor"),AND(AD13="Media",AF13="Mayor"),AND(AD13="Alta",AF13="Moderado"),AND(AD13="Alta",AF13="Mayor"),AND(AD13="Muy Alta",AF13="Leve"),AND(AD13="Muy Alta",AF13="Menor"),AND(AD13="Muy Alta",AF13="Moderado"),AND(AD13="Muy Alta",AF13="Mayor")),"Alto",IF(OR(AND(AD13="Muy Baja",AF13="Catastrófico"),AND(AD13="Baja",AF13="Catastrófico"),AND(AD13="Media",AF13="Catastrófico"),AND(AD13="Alta",AF13="Catastrófico"),AND(AD13="Muy Alta",AF13="Catastrófico")),"Extremo","")))),"")</f>
        <v>Alto</v>
      </c>
      <c r="AI13" s="259" t="s">
        <v>26</v>
      </c>
      <c r="AJ13" s="236">
        <v>0</v>
      </c>
      <c r="AK13" s="236">
        <v>0</v>
      </c>
      <c r="AL13" s="236">
        <v>0</v>
      </c>
      <c r="AM13" s="236">
        <v>0</v>
      </c>
      <c r="AN13" s="247"/>
      <c r="AO13" s="246"/>
      <c r="AP13" s="246"/>
      <c r="AQ13" s="245"/>
      <c r="AR13" s="238"/>
      <c r="AS13" s="246"/>
      <c r="AT13" s="182"/>
    </row>
    <row r="14" spans="1:78" s="252" customFormat="1" ht="98.25" customHeight="1" x14ac:dyDescent="0.2">
      <c r="A14" s="463" t="s">
        <v>689</v>
      </c>
      <c r="B14" s="464" t="s">
        <v>753</v>
      </c>
      <c r="C14" s="465" t="s">
        <v>595</v>
      </c>
      <c r="D14" s="466" t="s">
        <v>619</v>
      </c>
      <c r="E14" s="466" t="s">
        <v>107</v>
      </c>
      <c r="F14" s="467" t="s">
        <v>881</v>
      </c>
      <c r="G14" s="467" t="s">
        <v>877</v>
      </c>
      <c r="H14" s="467" t="s">
        <v>878</v>
      </c>
      <c r="I14" s="492" t="s">
        <v>654</v>
      </c>
      <c r="J14" s="492" t="s">
        <v>882</v>
      </c>
      <c r="K14" s="493">
        <v>39474</v>
      </c>
      <c r="L14" s="490" t="str">
        <f t="shared" ref="L14" si="10">IF(K14&lt;=0,"",IF(K14&lt;=2,"Muy Baja",IF(K14&lt;=24,"Baja",IF(K14&lt;=500,"Media",IF(K14&lt;=5000,"Alta","Muy Alta")))))</f>
        <v>Muy Alta</v>
      </c>
      <c r="M14" s="488">
        <f>IF(L14="","",IF(L14="Muy Baja",0.2,IF(L14="Baja",0.4,IF(L14="Media",0.6,IF(L14="Alta",0.8,IF(L14="Muy Alta",1,))))))</f>
        <v>1</v>
      </c>
      <c r="N14" s="489" t="s">
        <v>123</v>
      </c>
      <c r="O14" s="248" t="str">
        <f>IF(NOT(ISERROR(MATCH(N14,'Tabla Impacto'!$B$221:$B$223,0))),'Tabla Impacto'!$F$223&amp;"Por favor no seleccionar los criterios de impacto(Afectación Económica o presupuestal y Pérdida Reputacional)",N14)</f>
        <v xml:space="preserve">     El riesgo afecta la imagen de la entidad a nivel nacional, con efecto publicitarios sostenible a nivel país</v>
      </c>
      <c r="P14" s="490" t="str">
        <f>IF(OR(O14='Tabla Impacto'!$C$11,O14='Tabla Impacto'!$D$11),"Leve",IF(OR(O14='Tabla Impacto'!$C$12,O14='Tabla Impacto'!$D$12),"Menor",IF(OR(O14='Tabla Impacto'!$C$13,O14='Tabla Impacto'!$D$13),"Moderado",IF(OR(O14='Tabla Impacto'!$C$14,O14='Tabla Impacto'!$D$14),"Mayor",IF(OR(O14='Tabla Impacto'!$C$15,O14='Tabla Impacto'!$D$15),"Catastrófico","")))))</f>
        <v>Catastrófico</v>
      </c>
      <c r="Q14" s="488">
        <f>IF(P14="","",IF(P14="Leve",0.2,IF(P14="Menor",0.4,IF(P14="Moderado",0.6,IF(P14="Mayor",0.8,IF(P14="Catastrófico",1,))))))</f>
        <v>1</v>
      </c>
      <c r="R14" s="491" t="str">
        <f>IF(OR(AND(L14="Muy Baja",P14="Leve"),AND(L14="Muy Baja",P14="Menor"),AND(L14="Baja",P14="Leve")),"Bajo",IF(OR(AND(L14="Muy baja",P14="Moderado"),AND(L14="Baja",P14="Menor"),AND(L14="Baja",P14="Moderado"),AND(L14="Media",P14="Leve"),AND(L14="Media",P14="Menor"),AND(L14="Media",P14="Moderado"),AND(L14="Alta",P14="Leve"),AND(L14="Alta",P14="Menor")),"Moderado",IF(OR(AND(L14="Muy Baja",P14="Mayor"),AND(L14="Baja",P14="Mayor"),AND(L14="Media",P14="Mayor"),AND(L14="Alta",P14="Moderado"),AND(L14="Alta",P14="Mayor"),AND(L14="Muy Alta",P14="Leve"),AND(L14="Muy Alta",P14="Menor"),AND(L14="Muy Alta",P14="Moderado"),AND(L14="Muy Alta",P14="Mayor")),"Alto",IF(OR(AND(L14="Muy Baja",P14="Catastrófico"),AND(L14="Baja",P14="Catastrófico"),AND(L14="Media",P14="Catastrófico"),AND(L14="Alta",P14="Catastrófico"),AND(L14="Muy Alta",P14="Catastrófico")),"Extremo",""))))</f>
        <v>Extremo</v>
      </c>
      <c r="S14" s="235">
        <v>1</v>
      </c>
      <c r="T14" s="322" t="s">
        <v>879</v>
      </c>
      <c r="U14" s="305" t="s">
        <v>293</v>
      </c>
      <c r="V14" s="307" t="str">
        <f t="shared" si="2"/>
        <v>Probabilidad</v>
      </c>
      <c r="W14" s="259" t="s">
        <v>13</v>
      </c>
      <c r="X14" s="259" t="s">
        <v>8</v>
      </c>
      <c r="Y14" s="260" t="str">
        <f t="shared" si="3"/>
        <v>40%</v>
      </c>
      <c r="Z14" s="259" t="s">
        <v>18</v>
      </c>
      <c r="AA14" s="259" t="s">
        <v>21</v>
      </c>
      <c r="AB14" s="259" t="s">
        <v>103</v>
      </c>
      <c r="AC14" s="261">
        <f>IFERROR(IF(V14="Probabilidad",(M14-(+M14*Y14)),IF(V14="Impacto",M14,"")),"")</f>
        <v>0.6</v>
      </c>
      <c r="AD14" s="262" t="str">
        <f>IFERROR(IF(AC14="","",IF(AC14&lt;=0.2,"Muy Baja",IF(AC14&lt;=0.4,"Baja",IF(AC14&lt;=0.6,"Media",IF(AC14&lt;=0.8,"Alta","Muy Alta"))))),"")</f>
        <v>Media</v>
      </c>
      <c r="AE14" s="260">
        <f>+AC14</f>
        <v>0.6</v>
      </c>
      <c r="AF14" s="262" t="str">
        <f t="shared" ref="AF14:AF74" si="11">IFERROR(IF(AG14="","",IF(AG14&lt;=0.2,"Leve",IF(AG14&lt;=0.4,"Menor",IF(AG14&lt;=0.6,"Moderado",IF(AG14&lt;=0.8,"Mayor","Catastrófico"))))),"")</f>
        <v>Catastrófico</v>
      </c>
      <c r="AG14" s="260">
        <f>IFERROR(IF(V14="Impacto",(Q14-(+Q14*Y14)),IF(V14="Probabilidad",Q14,"")),"")</f>
        <v>1</v>
      </c>
      <c r="AH14" s="264" t="str">
        <f>IFERROR(IF(OR(AND(AD14="Muy Baja",AF14="Leve"),AND(AD14="Muy Baja",AF14="Menor"),AND(AD14="Baja",AF14="Leve")),"Bajo",IF(OR(AND(AD14="Muy baja",AF14="Moderado"),AND(AD14="Baja",AF14="Menor"),AND(AD14="Baja",AF14="Moderado"),AND(AD14="Media",AF14="Leve"),AND(AD14="Media",AF14="Menor"),AND(AD14="Media",AF14="Moderado"),AND(AD14="Alta",AF14="Leve"),AND(AD14="Alta",AF14="Menor")),"Moderado",IF(OR(AND(AD14="Muy Baja",AF14="Mayor"),AND(AD14="Baja",AF14="Mayor"),AND(AD14="Media",AF14="Mayor"),AND(AD14="Alta",AF14="Moderado"),AND(AD14="Alta",AF14="Mayor"),AND(AD14="Muy Alta",AF14="Leve"),AND(AD14="Muy Alta",AF14="Menor"),AND(AD14="Muy Alta",AF14="Moderado"),AND(AD14="Muy Alta",AF14="Mayor")),"Alto",IF(OR(AND(AD14="Muy Baja",AF14="Catastrófico"),AND(AD14="Baja",AF14="Catastrófico"),AND(AD14="Media",AF14="Catastrófico"),AND(AD14="Alta",AF14="Catastrófico"),AND(AD14="Muy Alta",AF14="Catastrófico")),"Extremo","")))),"")</f>
        <v>Extremo</v>
      </c>
      <c r="AI14" s="259" t="s">
        <v>26</v>
      </c>
      <c r="AJ14" s="236">
        <v>0</v>
      </c>
      <c r="AK14" s="236">
        <v>0</v>
      </c>
      <c r="AL14" s="236">
        <v>0</v>
      </c>
      <c r="AM14" s="236">
        <v>0</v>
      </c>
      <c r="AN14" s="247"/>
      <c r="AO14" s="237"/>
      <c r="AP14" s="237"/>
      <c r="AQ14" s="231"/>
      <c r="AR14" s="239"/>
      <c r="AS14" s="240"/>
      <c r="AT14" s="182"/>
      <c r="AU14" s="251"/>
      <c r="AV14" s="251"/>
      <c r="AW14" s="251"/>
      <c r="AX14" s="251"/>
      <c r="AY14" s="251"/>
      <c r="AZ14" s="251"/>
      <c r="BA14" s="251"/>
      <c r="BB14" s="251"/>
      <c r="BC14" s="251"/>
      <c r="BD14" s="251"/>
      <c r="BE14" s="251"/>
      <c r="BF14" s="251"/>
      <c r="BG14" s="251"/>
      <c r="BH14" s="251"/>
      <c r="BI14" s="251"/>
      <c r="BJ14" s="251"/>
      <c r="BK14" s="251"/>
      <c r="BL14" s="251"/>
      <c r="BM14" s="251"/>
      <c r="BN14" s="251"/>
      <c r="BO14" s="251"/>
      <c r="BP14" s="251"/>
      <c r="BQ14" s="251"/>
      <c r="BR14" s="251"/>
      <c r="BS14" s="251"/>
      <c r="BT14" s="251"/>
      <c r="BU14" s="251"/>
      <c r="BV14" s="251"/>
      <c r="BW14" s="251"/>
      <c r="BX14" s="251"/>
      <c r="BY14" s="251"/>
      <c r="BZ14" s="251"/>
    </row>
    <row r="15" spans="1:78" s="251" customFormat="1" ht="128.25" x14ac:dyDescent="0.2">
      <c r="A15" s="463"/>
      <c r="B15" s="464"/>
      <c r="C15" s="465"/>
      <c r="D15" s="466"/>
      <c r="E15" s="466"/>
      <c r="F15" s="467"/>
      <c r="G15" s="467"/>
      <c r="H15" s="467"/>
      <c r="I15" s="492"/>
      <c r="J15" s="492"/>
      <c r="K15" s="493"/>
      <c r="L15" s="490"/>
      <c r="M15" s="488"/>
      <c r="N15" s="489"/>
      <c r="O15" s="248">
        <f>IF(NOT(ISERROR(MATCH(N15,_xlfn.ANCHORARRAY(#REF!),0))),#REF!&amp;"Por favor no seleccionar los criterios de impacto",N15)</f>
        <v>0</v>
      </c>
      <c r="P15" s="490"/>
      <c r="Q15" s="488"/>
      <c r="R15" s="491"/>
      <c r="S15" s="235">
        <v>2</v>
      </c>
      <c r="T15" s="322" t="s">
        <v>880</v>
      </c>
      <c r="U15" s="305" t="s">
        <v>293</v>
      </c>
      <c r="V15" s="307" t="str">
        <f t="shared" si="2"/>
        <v>Impacto</v>
      </c>
      <c r="W15" s="259" t="s">
        <v>15</v>
      </c>
      <c r="X15" s="259" t="s">
        <v>8</v>
      </c>
      <c r="Y15" s="260" t="str">
        <f t="shared" si="3"/>
        <v>25%</v>
      </c>
      <c r="Z15" s="259" t="s">
        <v>18</v>
      </c>
      <c r="AA15" s="259" t="s">
        <v>21</v>
      </c>
      <c r="AB15" s="259" t="s">
        <v>103</v>
      </c>
      <c r="AC15" s="261">
        <f t="shared" ref="AC15" si="12">IFERROR(IF(AND(V14="Probabilidad",V15="Probabilidad"),(AE14-(+AE14*Y15)),IF(V15="Probabilidad",(M14-(+M14*Y15)),IF(V15="Impacto",AE14,""))),"")</f>
        <v>0.6</v>
      </c>
      <c r="AD15" s="262" t="str">
        <f t="shared" ref="AD15:AD16" si="13">IFERROR(IF(AC15="","",IF(AC15&lt;=0.2,"Muy Baja",IF(AC15&lt;=0.4,"Baja",IF(AC15&lt;=0.6,"Media",IF(AC15&lt;=0.8,"Alta","Muy Alta"))))),"")</f>
        <v>Media</v>
      </c>
      <c r="AE15" s="260">
        <f>+AC15</f>
        <v>0.6</v>
      </c>
      <c r="AF15" s="262" t="str">
        <f t="shared" si="11"/>
        <v>Mayor</v>
      </c>
      <c r="AG15" s="260">
        <f>IFERROR(IF(AND(V14="Impacto",V15="Impacto"),(AG14-(+AG14*Y15)),IF(V15="Impacto",($Q$14-(+$Q$14*Y15)),IF(V15="Probabilidad",AG14,""))),"")</f>
        <v>0.75</v>
      </c>
      <c r="AH15" s="264" t="str">
        <f t="shared" ref="AH15:AH16" si="14">IFERROR(IF(OR(AND(AD15="Muy Baja",AF15="Leve"),AND(AD15="Muy Baja",AF15="Menor"),AND(AD15="Baja",AF15="Leve")),"Bajo",IF(OR(AND(AD15="Muy baja",AF15="Moderado"),AND(AD15="Baja",AF15="Menor"),AND(AD15="Baja",AF15="Moderado"),AND(AD15="Media",AF15="Leve"),AND(AD15="Media",AF15="Menor"),AND(AD15="Media",AF15="Moderado"),AND(AD15="Alta",AF15="Leve"),AND(AD15="Alta",AF15="Menor")),"Moderado",IF(OR(AND(AD15="Muy Baja",AF15="Mayor"),AND(AD15="Baja",AF15="Mayor"),AND(AD15="Media",AF15="Mayor"),AND(AD15="Alta",AF15="Moderado"),AND(AD15="Alta",AF15="Mayor"),AND(AD15="Muy Alta",AF15="Leve"),AND(AD15="Muy Alta",AF15="Menor"),AND(AD15="Muy Alta",AF15="Moderado"),AND(AD15="Muy Alta",AF15="Mayor")),"Alto",IF(OR(AND(AD15="Muy Baja",AF15="Catastrófico"),AND(AD15="Baja",AF15="Catastrófico"),AND(AD15="Media",AF15="Catastrófico"),AND(AD15="Alta",AF15="Catastrófico"),AND(AD15="Muy Alta",AF15="Catastrófico")),"Extremo","")))),"")</f>
        <v>Alto</v>
      </c>
      <c r="AI15" s="259" t="s">
        <v>26</v>
      </c>
      <c r="AJ15" s="236">
        <v>12</v>
      </c>
      <c r="AK15" s="236">
        <v>4</v>
      </c>
      <c r="AL15" s="236">
        <v>4</v>
      </c>
      <c r="AM15" s="236">
        <v>4</v>
      </c>
      <c r="AN15" s="247"/>
      <c r="AO15" s="246"/>
      <c r="AP15" s="246"/>
      <c r="AQ15" s="245"/>
      <c r="AR15" s="238"/>
      <c r="AS15" s="246"/>
      <c r="AT15" s="182"/>
    </row>
    <row r="16" spans="1:78" s="251" customFormat="1" ht="108.75" customHeight="1" x14ac:dyDescent="0.2">
      <c r="A16" s="463"/>
      <c r="B16" s="464"/>
      <c r="C16" s="465"/>
      <c r="D16" s="466"/>
      <c r="E16" s="466"/>
      <c r="F16" s="467"/>
      <c r="G16" s="467"/>
      <c r="H16" s="467"/>
      <c r="I16" s="492"/>
      <c r="J16" s="492"/>
      <c r="K16" s="493"/>
      <c r="L16" s="490"/>
      <c r="M16" s="488"/>
      <c r="N16" s="489"/>
      <c r="O16" s="248">
        <f>IF(NOT(ISERROR(MATCH(N16,_xlfn.ANCHORARRAY(#REF!),0))),#REF!&amp;"Por favor no seleccionar los criterios de impacto",N16)</f>
        <v>0</v>
      </c>
      <c r="P16" s="490"/>
      <c r="Q16" s="488"/>
      <c r="R16" s="491"/>
      <c r="S16" s="235">
        <v>3</v>
      </c>
      <c r="T16" s="322" t="s">
        <v>1083</v>
      </c>
      <c r="U16" s="305" t="s">
        <v>292</v>
      </c>
      <c r="V16" s="307" t="str">
        <f t="shared" si="2"/>
        <v>Probabilidad</v>
      </c>
      <c r="W16" s="259" t="s">
        <v>13</v>
      </c>
      <c r="X16" s="259" t="s">
        <v>8</v>
      </c>
      <c r="Y16" s="260" t="str">
        <f t="shared" si="3"/>
        <v>40%</v>
      </c>
      <c r="Z16" s="259" t="s">
        <v>19</v>
      </c>
      <c r="AA16" s="259" t="s">
        <v>21</v>
      </c>
      <c r="AB16" s="259" t="s">
        <v>103</v>
      </c>
      <c r="AC16" s="261">
        <f t="shared" ref="AC16" si="15">IFERROR(IF(AND(V15="Probabilidad",V16="Probabilidad"),(AE15-(+AE15*Y16)),IF(AND(V15="Impacto",V16="Probabilidad"),(AE14-(+AE14*Y16)),IF(V16="Impacto",AE15,""))),"")</f>
        <v>0.36</v>
      </c>
      <c r="AD16" s="262" t="str">
        <f t="shared" si="13"/>
        <v>Baja</v>
      </c>
      <c r="AE16" s="260">
        <f t="shared" ref="AE16" si="16">+AC16</f>
        <v>0.36</v>
      </c>
      <c r="AF16" s="262" t="str">
        <f t="shared" si="11"/>
        <v>Mayor</v>
      </c>
      <c r="AG16" s="260">
        <f>IFERROR(IF(AND(V15="Impacto",V16="Impacto"),(AG15-(+AG15*Y16)),IF(V16="Impacto",(#REF!-(+#REF!*Y16)),IF(V16="Probabilidad",AG15,""))),"")</f>
        <v>0.75</v>
      </c>
      <c r="AH16" s="264" t="str">
        <f t="shared" si="14"/>
        <v>Alto</v>
      </c>
      <c r="AI16" s="259" t="s">
        <v>26</v>
      </c>
      <c r="AJ16" s="236">
        <v>12</v>
      </c>
      <c r="AK16" s="236">
        <v>4</v>
      </c>
      <c r="AL16" s="236">
        <v>4</v>
      </c>
      <c r="AM16" s="236">
        <v>4</v>
      </c>
      <c r="AN16" s="247"/>
      <c r="AO16" s="246"/>
      <c r="AP16" s="246"/>
      <c r="AQ16" s="245"/>
      <c r="AR16" s="238"/>
      <c r="AS16" s="246"/>
      <c r="AT16" s="182"/>
    </row>
    <row r="17" spans="1:78" ht="128.25" x14ac:dyDescent="0.2">
      <c r="A17" s="463" t="s">
        <v>787</v>
      </c>
      <c r="B17" s="464" t="s">
        <v>753</v>
      </c>
      <c r="C17" s="465" t="s">
        <v>596</v>
      </c>
      <c r="D17" s="466" t="s">
        <v>618</v>
      </c>
      <c r="E17" s="466" t="s">
        <v>109</v>
      </c>
      <c r="F17" s="494" t="s">
        <v>960</v>
      </c>
      <c r="G17" s="467" t="s">
        <v>673</v>
      </c>
      <c r="H17" s="467" t="s">
        <v>788</v>
      </c>
      <c r="I17" s="492" t="s">
        <v>657</v>
      </c>
      <c r="J17" s="492" t="s">
        <v>961</v>
      </c>
      <c r="K17" s="493">
        <v>365</v>
      </c>
      <c r="L17" s="490" t="str">
        <f t="shared" ref="L17" si="17">IF(K17&lt;=0,"",IF(K17&lt;=2,"Muy Baja",IF(K17&lt;=24,"Baja",IF(K17&lt;=500,"Media",IF(K17&lt;=5000,"Alta","Muy Alta")))))</f>
        <v>Media</v>
      </c>
      <c r="M17" s="488">
        <f>IF(L17="","",IF(L17="Muy Baja",0.2,IF(L17="Baja",0.4,IF(L17="Media",0.6,IF(L17="Alta",0.8,IF(L17="Muy Alta",1,))))))</f>
        <v>0.6</v>
      </c>
      <c r="N17" s="489" t="s">
        <v>117</v>
      </c>
      <c r="O17" s="248" t="s">
        <v>117</v>
      </c>
      <c r="P17" s="490" t="s">
        <v>6</v>
      </c>
      <c r="Q17" s="488">
        <f>IF(P17="","",IF(P17="Leve",0.2,IF(P17="Menor",0.4,IF(P17="Moderado",0.6,IF(P17="Mayor",0.8,IF(P17="Catastrófico",1,))))))</f>
        <v>0.8</v>
      </c>
      <c r="R17" s="491" t="str">
        <f>IF(OR(AND(L17="Muy Baja",P17="Leve"),AND(L17="Muy Baja",P17="Menor"),AND(L17="Baja",P17="Leve")),"Bajo",IF(OR(AND(L17="Muy baja",P17="Moderado"),AND(L17="Baja",P17="Menor"),AND(L17="Baja",P17="Moderado"),AND(L17="Media",P17="Leve"),AND(L17="Media",P17="Menor"),AND(L17="Media",P17="Moderado"),AND(L17="Alta",P17="Leve"),AND(L17="Alta",P17="Menor")),"Moderado",IF(OR(AND(L17="Muy Baja",P17="Mayor"),AND(L17="Baja",P17="Mayor"),AND(L17="Media",P17="Mayor"),AND(L17="Alta",P17="Moderado"),AND(L17="Alta",P17="Mayor"),AND(L17="Muy Alta",P17="Leve"),AND(L17="Muy Alta",P17="Menor"),AND(L17="Muy Alta",P17="Moderado"),AND(L17="Muy Alta",P17="Mayor")),"Alto",IF(OR(AND(L17="Muy Baja",P17="Catastrófico"),AND(L17="Baja",P17="Catastrófico"),AND(L17="Media",P17="Catastrófico"),AND(L17="Alta",P17="Catastrófico"),AND(L17="Muy Alta",P17="Catastrófico")),"Extremo",""))))</f>
        <v>Alto</v>
      </c>
      <c r="S17" s="235">
        <v>1</v>
      </c>
      <c r="T17" s="323" t="s">
        <v>962</v>
      </c>
      <c r="U17" s="305" t="s">
        <v>293</v>
      </c>
      <c r="V17" s="307" t="str">
        <f t="shared" ref="V17:V20" si="18">IF(OR(W17="Preventivo",W17="Detectivo"),"Probabilidad",IF(W17="Correctivo","Impacto",""))</f>
        <v>Probabilidad</v>
      </c>
      <c r="W17" s="259" t="s">
        <v>14</v>
      </c>
      <c r="X17" s="259" t="s">
        <v>8</v>
      </c>
      <c r="Y17" s="260" t="str">
        <f t="shared" si="3"/>
        <v>30%</v>
      </c>
      <c r="Z17" s="278" t="s">
        <v>18</v>
      </c>
      <c r="AA17" s="259" t="s">
        <v>21</v>
      </c>
      <c r="AB17" s="259" t="s">
        <v>103</v>
      </c>
      <c r="AC17" s="261">
        <f>IFERROR(IF(V17="Probabilidad",(M17-(+M17*Y17)),IF(V17="Impacto",M17,"")),"")</f>
        <v>0.42</v>
      </c>
      <c r="AD17" s="262" t="str">
        <f>IFERROR(IF(AC17="","",IF(AC17&lt;=0.2,"Muy Baja",IF(AC17&lt;=0.4,"Baja",IF(AC17&lt;=0.6,"Media",IF(AC17&lt;=0.8,"Alta","Muy Alta"))))),"")</f>
        <v>Media</v>
      </c>
      <c r="AE17" s="260">
        <f>+AC17</f>
        <v>0.42</v>
      </c>
      <c r="AF17" s="262" t="str">
        <f t="shared" si="11"/>
        <v>Mayor</v>
      </c>
      <c r="AG17" s="260">
        <f>IFERROR(IF(V17="Impacto",(Q17-(+Q17*Y17)),IF(V17="Probabilidad",Q17,"")),"")</f>
        <v>0.8</v>
      </c>
      <c r="AH17" s="264" t="str">
        <f>IFERROR(IF(OR(AND(AD17="Muy Baja",AF17="Leve"),AND(AD17="Muy Baja",AF17="Menor"),AND(AD17="Baja",AF17="Leve")),"Bajo",IF(OR(AND(AD17="Muy baja",AF17="Moderado"),AND(AD17="Baja",AF17="Menor"),AND(AD17="Baja",AF17="Moderado"),AND(AD17="Media",AF17="Leve"),AND(AD17="Media",AF17="Menor"),AND(AD17="Media",AF17="Moderado"),AND(AD17="Alta",AF17="Leve"),AND(AD17="Alta",AF17="Menor")),"Moderado",IF(OR(AND(AD17="Muy Baja",AF17="Mayor"),AND(AD17="Baja",AF17="Mayor"),AND(AD17="Media",AF17="Mayor"),AND(AD17="Alta",AF17="Moderado"),AND(AD17="Alta",AF17="Mayor"),AND(AD17="Muy Alta",AF17="Leve"),AND(AD17="Muy Alta",AF17="Menor"),AND(AD17="Muy Alta",AF17="Moderado"),AND(AD17="Muy Alta",AF17="Mayor")),"Alto",IF(OR(AND(AD17="Muy Baja",AF17="Catastrófico"),AND(AD17="Baja",AF17="Catastrófico"),AND(AD17="Media",AF17="Catastrófico"),AND(AD17="Alta",AF17="Catastrófico"),AND(AD17="Muy Alta",AF17="Catastrófico")),"Extremo","")))),"")</f>
        <v>Alto</v>
      </c>
      <c r="AI17" s="259" t="s">
        <v>26</v>
      </c>
      <c r="AJ17" s="236">
        <v>12</v>
      </c>
      <c r="AK17" s="236">
        <v>4</v>
      </c>
      <c r="AL17" s="236">
        <v>4</v>
      </c>
      <c r="AM17" s="236">
        <v>4</v>
      </c>
    </row>
    <row r="18" spans="1:78" ht="120.6" customHeight="1" x14ac:dyDescent="0.2">
      <c r="A18" s="463"/>
      <c r="B18" s="464"/>
      <c r="C18" s="465"/>
      <c r="D18" s="466"/>
      <c r="E18" s="466"/>
      <c r="F18" s="494"/>
      <c r="G18" s="467"/>
      <c r="H18" s="467"/>
      <c r="I18" s="492"/>
      <c r="J18" s="492"/>
      <c r="K18" s="493"/>
      <c r="L18" s="490"/>
      <c r="M18" s="488"/>
      <c r="N18" s="489"/>
      <c r="O18" s="248">
        <f>IF(NOT(ISERROR(MATCH(N18,_xlfn.ANCHORARRAY(H50),0))),#REF!&amp;"Por favor no seleccionar los criterios de impacto",N18)</f>
        <v>0</v>
      </c>
      <c r="P18" s="490"/>
      <c r="Q18" s="488"/>
      <c r="R18" s="491"/>
      <c r="S18" s="235">
        <v>2</v>
      </c>
      <c r="T18" s="322" t="s">
        <v>789</v>
      </c>
      <c r="U18" s="305" t="s">
        <v>293</v>
      </c>
      <c r="V18" s="307" t="str">
        <f t="shared" si="18"/>
        <v>Probabilidad</v>
      </c>
      <c r="W18" s="259" t="s">
        <v>13</v>
      </c>
      <c r="X18" s="259" t="s">
        <v>8</v>
      </c>
      <c r="Y18" s="260" t="str">
        <f t="shared" si="3"/>
        <v>40%</v>
      </c>
      <c r="Z18" s="259" t="s">
        <v>18</v>
      </c>
      <c r="AA18" s="259" t="s">
        <v>21</v>
      </c>
      <c r="AB18" s="259" t="s">
        <v>103</v>
      </c>
      <c r="AC18" s="261">
        <f t="shared" ref="AC18" si="19">IFERROR(IF(AND(V17="Probabilidad",V18="Probabilidad"),(AE17-(+AE17*Y18)),IF(V18="Probabilidad",(M17-(+M17*Y18)),IF(V18="Impacto",AE17,""))),"")</f>
        <v>0.252</v>
      </c>
      <c r="AD18" s="262" t="str">
        <f t="shared" ref="AD18:AD20" si="20">IFERROR(IF(AC18="","",IF(AC18&lt;=0.2,"Muy Baja",IF(AC18&lt;=0.4,"Baja",IF(AC18&lt;=0.6,"Media",IF(AC18&lt;=0.8,"Alta","Muy Alta"))))),"")</f>
        <v>Baja</v>
      </c>
      <c r="AE18" s="260">
        <f>+AC18</f>
        <v>0.252</v>
      </c>
      <c r="AF18" s="262" t="str">
        <f t="shared" si="11"/>
        <v>Mayor</v>
      </c>
      <c r="AG18" s="260">
        <f>IFERROR(IF(AND(V17="Impacto",V18="Impacto"),(AG17-(+AG17*Y18)),IF(V18="Impacto",(#REF!-(+#REF!*Y18)),IF(V18="Probabilidad",AG17,""))),"")</f>
        <v>0.8</v>
      </c>
      <c r="AH18" s="264" t="str">
        <f t="shared" ref="AH18:AH19" si="21">IFERROR(IF(OR(AND(AD18="Muy Baja",AF18="Leve"),AND(AD18="Muy Baja",AF18="Menor"),AND(AD18="Baja",AF18="Leve")),"Bajo",IF(OR(AND(AD18="Muy baja",AF18="Moderado"),AND(AD18="Baja",AF18="Menor"),AND(AD18="Baja",AF18="Moderado"),AND(AD18="Media",AF18="Leve"),AND(AD18="Media",AF18="Menor"),AND(AD18="Media",AF18="Moderado"),AND(AD18="Alta",AF18="Leve"),AND(AD18="Alta",AF18="Menor")),"Moderado",IF(OR(AND(AD18="Muy Baja",AF18="Mayor"),AND(AD18="Baja",AF18="Mayor"),AND(AD18="Media",AF18="Mayor"),AND(AD18="Alta",AF18="Moderado"),AND(AD18="Alta",AF18="Mayor"),AND(AD18="Muy Alta",AF18="Leve"),AND(AD18="Muy Alta",AF18="Menor"),AND(AD18="Muy Alta",AF18="Moderado"),AND(AD18="Muy Alta",AF18="Mayor")),"Alto",IF(OR(AND(AD18="Muy Baja",AF18="Catastrófico"),AND(AD18="Baja",AF18="Catastrófico"),AND(AD18="Media",AF18="Catastrófico"),AND(AD18="Alta",AF18="Catastrófico"),AND(AD18="Muy Alta",AF18="Catastrófico")),"Extremo","")))),"")</f>
        <v>Alto</v>
      </c>
      <c r="AI18" s="259" t="s">
        <v>26</v>
      </c>
      <c r="AJ18" s="236">
        <v>1</v>
      </c>
      <c r="AK18" s="236">
        <v>0</v>
      </c>
      <c r="AL18" s="236">
        <v>0</v>
      </c>
      <c r="AM18" s="236">
        <v>1</v>
      </c>
    </row>
    <row r="19" spans="1:78" ht="75" x14ac:dyDescent="0.2">
      <c r="A19" s="463"/>
      <c r="B19" s="464"/>
      <c r="C19" s="465"/>
      <c r="D19" s="466"/>
      <c r="E19" s="466"/>
      <c r="F19" s="494"/>
      <c r="G19" s="467"/>
      <c r="H19" s="467"/>
      <c r="I19" s="492"/>
      <c r="J19" s="492"/>
      <c r="K19" s="493"/>
      <c r="L19" s="490"/>
      <c r="M19" s="488"/>
      <c r="N19" s="489"/>
      <c r="O19" s="248">
        <f>IF(NOT(ISERROR(MATCH(N19,_xlfn.ANCHORARRAY(#REF!),0))),#REF!&amp;"Por favor no seleccionar los criterios de impacto",N19)</f>
        <v>0</v>
      </c>
      <c r="P19" s="490"/>
      <c r="Q19" s="488"/>
      <c r="R19" s="491"/>
      <c r="S19" s="235">
        <v>3</v>
      </c>
      <c r="T19" s="323" t="s">
        <v>963</v>
      </c>
      <c r="U19" s="305" t="s">
        <v>293</v>
      </c>
      <c r="V19" s="307" t="str">
        <f t="shared" si="18"/>
        <v>Probabilidad</v>
      </c>
      <c r="W19" s="259" t="s">
        <v>13</v>
      </c>
      <c r="X19" s="259" t="s">
        <v>8</v>
      </c>
      <c r="Y19" s="260" t="str">
        <f t="shared" si="3"/>
        <v>40%</v>
      </c>
      <c r="Z19" s="259" t="s">
        <v>18</v>
      </c>
      <c r="AA19" s="259" t="s">
        <v>21</v>
      </c>
      <c r="AB19" s="259" t="s">
        <v>103</v>
      </c>
      <c r="AC19" s="261">
        <f t="shared" ref="AC19:AC20" si="22">IFERROR(IF(AND(V18="Probabilidad",V19="Probabilidad"),(AE18-(+AE18*Y19)),IF(AND(V18="Impacto",V19="Probabilidad"),(AE17-(+AE17*Y19)),IF(V19="Impacto",AE18,""))),"")</f>
        <v>0.1512</v>
      </c>
      <c r="AD19" s="262" t="str">
        <f t="shared" si="20"/>
        <v>Muy Baja</v>
      </c>
      <c r="AE19" s="260">
        <f t="shared" ref="AE19:AE20" si="23">+AC19</f>
        <v>0.1512</v>
      </c>
      <c r="AF19" s="262" t="str">
        <f t="shared" si="11"/>
        <v>Mayor</v>
      </c>
      <c r="AG19" s="260">
        <f>IFERROR(IF(AND(V18="Impacto",V19="Impacto"),(AG18-(+AG18*Y19)),IF(V19="Impacto",(#REF!-(+#REF!*Y19)),IF(V19="Probabilidad",AG18,""))),"")</f>
        <v>0.8</v>
      </c>
      <c r="AH19" s="264" t="str">
        <f t="shared" si="21"/>
        <v>Alto</v>
      </c>
      <c r="AI19" s="259" t="s">
        <v>26</v>
      </c>
      <c r="AJ19" s="236">
        <v>12</v>
      </c>
      <c r="AK19" s="236">
        <v>4</v>
      </c>
      <c r="AL19" s="236">
        <v>4</v>
      </c>
      <c r="AM19" s="236">
        <v>4</v>
      </c>
    </row>
    <row r="20" spans="1:78" ht="99.75" x14ac:dyDescent="0.2">
      <c r="A20" s="463"/>
      <c r="B20" s="464"/>
      <c r="C20" s="465"/>
      <c r="D20" s="466"/>
      <c r="E20" s="466"/>
      <c r="F20" s="494"/>
      <c r="G20" s="467"/>
      <c r="H20" s="467"/>
      <c r="I20" s="492"/>
      <c r="J20" s="492"/>
      <c r="K20" s="493"/>
      <c r="L20" s="490"/>
      <c r="M20" s="488"/>
      <c r="N20" s="489"/>
      <c r="O20" s="248">
        <f>IF(NOT(ISERROR(MATCH(N20,_xlfn.ANCHORARRAY(#REF!),0))),#REF!&amp;"Por favor no seleccionar los criterios de impacto",N20)</f>
        <v>0</v>
      </c>
      <c r="P20" s="490"/>
      <c r="Q20" s="488"/>
      <c r="R20" s="491"/>
      <c r="S20" s="235">
        <v>4</v>
      </c>
      <c r="T20" s="323" t="s">
        <v>964</v>
      </c>
      <c r="U20" s="305" t="s">
        <v>293</v>
      </c>
      <c r="V20" s="307" t="str">
        <f t="shared" si="18"/>
        <v>Probabilidad</v>
      </c>
      <c r="W20" s="259" t="s">
        <v>13</v>
      </c>
      <c r="X20" s="259" t="s">
        <v>8</v>
      </c>
      <c r="Y20" s="260" t="str">
        <f t="shared" ref="Y20" si="24">IF(AND(W20="Preventivo",X20="Automático"),"50%",IF(AND(W20="Preventivo",X20="Manual"),"40%",IF(AND(W20="Detectivo",X20="Automático"),"40%",IF(AND(W20="Detectivo",X20="Manual"),"30%",IF(AND(W20="Correctivo",X20="Automático"),"35%",IF(AND(W20="Correctivo",X20="Manual"),"25%",""))))))</f>
        <v>40%</v>
      </c>
      <c r="Z20" s="259" t="s">
        <v>18</v>
      </c>
      <c r="AA20" s="259" t="s">
        <v>21</v>
      </c>
      <c r="AB20" s="259" t="s">
        <v>103</v>
      </c>
      <c r="AC20" s="261">
        <f t="shared" si="22"/>
        <v>9.0719999999999995E-2</v>
      </c>
      <c r="AD20" s="262" t="str">
        <f t="shared" si="20"/>
        <v>Muy Baja</v>
      </c>
      <c r="AE20" s="260">
        <f t="shared" si="23"/>
        <v>9.0719999999999995E-2</v>
      </c>
      <c r="AF20" s="262" t="str">
        <f t="shared" si="11"/>
        <v>Mayor</v>
      </c>
      <c r="AG20" s="260">
        <f>IFERROR(IF(AND(V19="Impacto",V20="Impacto"),(AG19-(+AG19*Y20)),IF(V20="Impacto",(#REF!-(+#REF!*Y20)),IF(V20="Probabilidad",AG19,""))),"")</f>
        <v>0.8</v>
      </c>
      <c r="AH20" s="264" t="str">
        <f>IFERROR(IF(OR(AND(AD20="Muy Baja",AF20="Leve"),AND(AD20="Muy Baja",AF20="Menor"),AND(AD20="Baja",AF20="Leve")),"Bajo",IF(OR(AND(AD20="Muy baja",AF20="Moderado"),AND(AD20="Baja",AF20="Menor"),AND(AD20="Baja",AF20="Moderado"),AND(AD20="Media",AF20="Leve"),AND(AD20="Media",AF20="Menor"),AND(AD20="Media",AF20="Moderado"),AND(AD20="Alta",AF20="Leve"),AND(AD20="Alta",AF20="Menor")),"Moderado",IF(OR(AND(AD20="Muy Baja",AF20="Mayor"),AND(AD20="Baja",AF20="Mayor"),AND(AD20="Media",AF20="Mayor"),AND(AD20="Alta",AF20="Moderado"),AND(AD20="Alta",AF20="Mayor"),AND(AD20="Muy Alta",AF20="Leve"),AND(AD20="Muy Alta",AF20="Menor"),AND(AD20="Muy Alta",AF20="Moderado"),AND(AD20="Muy Alta",AF20="Mayor")),"Alto",IF(OR(AND(AD20="Muy Baja",AF20="Catastrófico"),AND(AD20="Baja",AF20="Catastrófico"),AND(AD20="Media",AF20="Catastrófico"),AND(AD20="Alta",AF20="Catastrófico"),AND(AD20="Muy Alta",AF20="Catastrófico")),"Extremo","")))),"")</f>
        <v>Alto</v>
      </c>
      <c r="AI20" s="259" t="s">
        <v>26</v>
      </c>
      <c r="AJ20" s="236">
        <v>1</v>
      </c>
      <c r="AK20" s="236">
        <v>0</v>
      </c>
      <c r="AL20" s="236">
        <v>0</v>
      </c>
      <c r="AM20" s="236">
        <v>1</v>
      </c>
    </row>
    <row r="21" spans="1:78" ht="185.25" x14ac:dyDescent="0.2">
      <c r="A21" s="463" t="s">
        <v>690</v>
      </c>
      <c r="B21" s="464" t="s">
        <v>753</v>
      </c>
      <c r="C21" s="465" t="s">
        <v>596</v>
      </c>
      <c r="D21" s="466" t="s">
        <v>618</v>
      </c>
      <c r="E21" s="466" t="s">
        <v>109</v>
      </c>
      <c r="F21" s="467" t="s">
        <v>965</v>
      </c>
      <c r="G21" s="467" t="s">
        <v>780</v>
      </c>
      <c r="H21" s="467" t="s">
        <v>1054</v>
      </c>
      <c r="I21" s="492" t="s">
        <v>654</v>
      </c>
      <c r="J21" s="492" t="s">
        <v>813</v>
      </c>
      <c r="K21" s="493">
        <v>286</v>
      </c>
      <c r="L21" s="490" t="str">
        <f t="shared" ref="L21" si="25">IF(K21&lt;=0,"",IF(K21&lt;=2,"Muy Baja",IF(K21&lt;=24,"Baja",IF(K21&lt;=500,"Media",IF(K21&lt;=5000,"Alta","Muy Alta")))))</f>
        <v>Media</v>
      </c>
      <c r="M21" s="488">
        <f>IF(L21="","",IF(L21="Muy Baja",0.2,IF(L21="Baja",0.4,IF(L21="Media",0.6,IF(L21="Alta",0.8,IF(L21="Muy Alta",1,))))))</f>
        <v>0.6</v>
      </c>
      <c r="N21" s="489" t="s">
        <v>811</v>
      </c>
      <c r="O21" s="248" t="s">
        <v>811</v>
      </c>
      <c r="P21" s="490" t="s">
        <v>846</v>
      </c>
      <c r="Q21" s="488">
        <f>IF(P21="","",IF(P21="Leve",0.2,IF(P21="Menor",0.4,IF(P21="Moderado",0.6,IF(P21="Mayor",0.8,IF(P21="Catastrófico",1,))))))</f>
        <v>0.4</v>
      </c>
      <c r="R21" s="491" t="str">
        <f>IF(OR(AND(L21="Muy Baja",P21="Leve"),AND(L21="Muy Baja",P21="Menor"),AND(L21="Baja",P21="Leve")),"Bajo",IF(OR(AND(L21="Muy baja",P21="Moderado"),AND(L21="Baja",P21="Menor"),AND(L21="Baja",P21="Moderado"),AND(L21="Media",P21="Leve"),AND(L21="Media",P21="Menor"),AND(L21="Media",P21="Moderado"),AND(L21="Alta",P21="Leve"),AND(L21="Alta",P21="Menor")),"Moderado",IF(OR(AND(L21="Muy Baja",P21="Mayor"),AND(L21="Baja",P21="Mayor"),AND(L21="Media",P21="Mayor"),AND(L21="Alta",P21="Moderado"),AND(L21="Alta",P21="Mayor"),AND(L21="Muy Alta",P21="Leve"),AND(L21="Muy Alta",P21="Menor"),AND(L21="Muy Alta",P21="Moderado"),AND(L21="Muy Alta",P21="Mayor")),"Alto",IF(OR(AND(L21="Muy Baja",P21="Catastrófico"),AND(L21="Baja",P21="Catastrófico"),AND(L21="Media",P21="Catastrófico"),AND(L21="Alta",P21="Catastrófico"),AND(L21="Muy Alta",P21="Catastrófico")),"Extremo",""))))</f>
        <v>Moderado</v>
      </c>
      <c r="S21" s="235">
        <v>1</v>
      </c>
      <c r="T21" s="323" t="s">
        <v>966</v>
      </c>
      <c r="U21" s="305" t="s">
        <v>293</v>
      </c>
      <c r="V21" s="307" t="str">
        <f t="shared" ref="V21:V35" si="26">IF(OR(W21="Preventivo",W21="Detectivo"),"Probabilidad",IF(W21="Correctivo","Impacto",""))</f>
        <v>Probabilidad</v>
      </c>
      <c r="W21" s="259" t="s">
        <v>13</v>
      </c>
      <c r="X21" s="259" t="s">
        <v>8</v>
      </c>
      <c r="Y21" s="260" t="str">
        <f t="shared" ref="Y21:Y35" si="27">IF(AND(W21="Preventivo",X21="Automático"),"50%",IF(AND(W21="Preventivo",X21="Manual"),"40%",IF(AND(W21="Detectivo",X21="Automático"),"40%",IF(AND(W21="Detectivo",X21="Manual"),"30%",IF(AND(W21="Correctivo",X21="Automático"),"35%",IF(AND(W21="Correctivo",X21="Manual"),"25%",""))))))</f>
        <v>40%</v>
      </c>
      <c r="Z21" s="259" t="s">
        <v>19</v>
      </c>
      <c r="AA21" s="259" t="s">
        <v>21</v>
      </c>
      <c r="AB21" s="259" t="s">
        <v>103</v>
      </c>
      <c r="AC21" s="261">
        <f t="shared" ref="AC21" si="28">IFERROR(IF(V21="Probabilidad",(M21-(+M21*Y21)),IF(V21="Impacto",M21,"")),"")</f>
        <v>0.36</v>
      </c>
      <c r="AD21" s="262" t="str">
        <f>IFERROR(IF(AC21="","",IF(AC21&lt;=0.2,"Muy Baja",IF(AC21&lt;=0.4,"Baja",IF(AC21&lt;=0.6,"Media",IF(AC21&lt;=0.8,"Alta","Muy Alta"))))),"")</f>
        <v>Baja</v>
      </c>
      <c r="AE21" s="260">
        <f t="shared" ref="AE21:AE34" si="29">+AC21</f>
        <v>0.36</v>
      </c>
      <c r="AF21" s="262" t="str">
        <f t="shared" si="11"/>
        <v>Menor</v>
      </c>
      <c r="AG21" s="260">
        <f>IFERROR(IF(V21="Impacto",(Q21-(+Q21*Y21)),IF(V21="Probabilidad",Q21,"")),"")</f>
        <v>0.4</v>
      </c>
      <c r="AH21" s="264" t="str">
        <f>IFERROR(IF(OR(AND(AD21="Muy Baja",AF21="Leve"),AND(AD21="Muy Baja",AF21="Menor"),AND(AD21="Baja",AF21="Leve")),"Bajo",IF(OR(AND(AD21="Muy baja",AF21="Moderado"),AND(AD21="Baja",AF21="Menor"),AND(AD21="Baja",AF21="Moderado"),AND(AD21="Media",AF21="Leve"),AND(AD21="Media",AF21="Menor"),AND(AD21="Media",AF21="Moderado"),AND(AD21="Alta",AF21="Leve"),AND(AD21="Alta",AF21="Menor")),"Moderado",IF(OR(AND(AD21="Muy Baja",AF21="Mayor"),AND(AD21="Baja",AF21="Mayor"),AND(AD21="Media",AF21="Mayor"),AND(AD21="Alta",AF21="Moderado"),AND(AD21="Alta",AF21="Mayor"),AND(AD21="Muy Alta",AF21="Leve"),AND(AD21="Muy Alta",AF21="Menor"),AND(AD21="Muy Alta",AF21="Moderado"),AND(AD21="Muy Alta",AF21="Mayor")),"Alto",IF(OR(AND(AD21="Muy Baja",AF21="Catastrófico"),AND(AD21="Baja",AF21="Catastrófico"),AND(AD21="Media",AF21="Catastrófico"),AND(AD21="Alta",AF21="Catastrófico"),AND(AD21="Muy Alta",AF21="Catastrófico")),"Extremo","")))),"")</f>
        <v>Moderado</v>
      </c>
      <c r="AI21" s="259" t="s">
        <v>26</v>
      </c>
      <c r="AJ21" s="236">
        <v>0</v>
      </c>
      <c r="AK21" s="236">
        <v>0</v>
      </c>
      <c r="AL21" s="236">
        <v>0</v>
      </c>
      <c r="AM21" s="236">
        <v>0</v>
      </c>
    </row>
    <row r="22" spans="1:78" ht="122.1" customHeight="1" x14ac:dyDescent="0.2">
      <c r="A22" s="463"/>
      <c r="B22" s="464"/>
      <c r="C22" s="465"/>
      <c r="D22" s="466"/>
      <c r="E22" s="466"/>
      <c r="F22" s="467"/>
      <c r="G22" s="467"/>
      <c r="H22" s="467"/>
      <c r="I22" s="492"/>
      <c r="J22" s="492"/>
      <c r="K22" s="493"/>
      <c r="L22" s="490"/>
      <c r="M22" s="488"/>
      <c r="N22" s="489"/>
      <c r="O22" s="248">
        <f>IF(NOT(ISERROR(MATCH(N22,_xlfn.ANCHORARRAY(#REF!),0))),#REF!&amp;"Por favor no seleccionar los criterios de impacto",N22)</f>
        <v>0</v>
      </c>
      <c r="P22" s="490"/>
      <c r="Q22" s="488"/>
      <c r="R22" s="491"/>
      <c r="S22" s="235">
        <v>2</v>
      </c>
      <c r="T22" s="326" t="s">
        <v>967</v>
      </c>
      <c r="U22" s="305" t="s">
        <v>293</v>
      </c>
      <c r="V22" s="307" t="str">
        <f t="shared" si="26"/>
        <v>Probabilidad</v>
      </c>
      <c r="W22" s="259" t="s">
        <v>14</v>
      </c>
      <c r="X22" s="259" t="s">
        <v>8</v>
      </c>
      <c r="Y22" s="260" t="str">
        <f t="shared" si="27"/>
        <v>30%</v>
      </c>
      <c r="Z22" s="278" t="s">
        <v>18</v>
      </c>
      <c r="AA22" s="259" t="s">
        <v>22</v>
      </c>
      <c r="AB22" s="259" t="s">
        <v>104</v>
      </c>
      <c r="AC22" s="261">
        <f t="shared" ref="AC22" si="30">IFERROR(IF(AND(V21="Probabilidad",V22="Probabilidad"),(AE21-(+AE21*Y22)),IF(V22="Probabilidad",(M21-(+M21*Y22)),IF(V22="Impacto",AE21,""))),"")</f>
        <v>0.252</v>
      </c>
      <c r="AD22" s="262" t="str">
        <f t="shared" ref="AD22" si="31">IFERROR(IF(AC22="","",IF(AC22&lt;=0.2,"Muy Baja",IF(AC22&lt;=0.4,"Baja",IF(AC22&lt;=0.6,"Media",IF(AC22&lt;=0.8,"Alta","Muy Alta"))))),"")</f>
        <v>Baja</v>
      </c>
      <c r="AE22" s="260">
        <f t="shared" si="29"/>
        <v>0.252</v>
      </c>
      <c r="AF22" s="262" t="str">
        <f t="shared" si="11"/>
        <v>Menor</v>
      </c>
      <c r="AG22" s="260">
        <f>IFERROR(IF(AND(V21="Impacto",V22="Impacto"),(AG21-(+AG21*Y22)),IF(V22="Impacto",($Q$35-(+$Q$35*Y22)),IF(V22="Probabilidad",AG21,""))),"")</f>
        <v>0.4</v>
      </c>
      <c r="AH22" s="264" t="str">
        <f t="shared" ref="AH22" si="32">IFERROR(IF(OR(AND(AD22="Muy Baja",AF22="Leve"),AND(AD22="Muy Baja",AF22="Menor"),AND(AD22="Baja",AF22="Leve")),"Bajo",IF(OR(AND(AD22="Muy baja",AF22="Moderado"),AND(AD22="Baja",AF22="Menor"),AND(AD22="Baja",AF22="Moderado"),AND(AD22="Media",AF22="Leve"),AND(AD22="Media",AF22="Menor"),AND(AD22="Media",AF22="Moderado"),AND(AD22="Alta",AF22="Leve"),AND(AD22="Alta",AF22="Menor")),"Moderado",IF(OR(AND(AD22="Muy Baja",AF22="Mayor"),AND(AD22="Baja",AF22="Mayor"),AND(AD22="Media",AF22="Mayor"),AND(AD22="Alta",AF22="Moderado"),AND(AD22="Alta",AF22="Mayor"),AND(AD22="Muy Alta",AF22="Leve"),AND(AD22="Muy Alta",AF22="Menor"),AND(AD22="Muy Alta",AF22="Moderado"),AND(AD22="Muy Alta",AF22="Mayor")),"Alto",IF(OR(AND(AD22="Muy Baja",AF22="Catastrófico"),AND(AD22="Baja",AF22="Catastrófico"),AND(AD22="Media",AF22="Catastrófico"),AND(AD22="Alta",AF22="Catastrófico"),AND(AD22="Muy Alta",AF22="Catastrófico")),"Extremo","")))),"")</f>
        <v>Moderado</v>
      </c>
      <c r="AI22" s="259" t="s">
        <v>26</v>
      </c>
      <c r="AJ22" s="236">
        <v>2</v>
      </c>
      <c r="AK22" s="236">
        <v>0</v>
      </c>
      <c r="AL22" s="236">
        <v>1</v>
      </c>
      <c r="AM22" s="236">
        <v>1</v>
      </c>
    </row>
    <row r="23" spans="1:78" ht="128.25" x14ac:dyDescent="0.2">
      <c r="A23" s="463" t="s">
        <v>691</v>
      </c>
      <c r="B23" s="464" t="s">
        <v>753</v>
      </c>
      <c r="C23" s="465" t="s">
        <v>596</v>
      </c>
      <c r="D23" s="466" t="s">
        <v>622</v>
      </c>
      <c r="E23" s="466" t="s">
        <v>107</v>
      </c>
      <c r="F23" s="494" t="s">
        <v>968</v>
      </c>
      <c r="G23" s="467" t="s">
        <v>673</v>
      </c>
      <c r="H23" s="494" t="s">
        <v>1055</v>
      </c>
      <c r="I23" s="492" t="s">
        <v>654</v>
      </c>
      <c r="J23" s="492" t="s">
        <v>969</v>
      </c>
      <c r="K23" s="493">
        <v>600</v>
      </c>
      <c r="L23" s="490" t="str">
        <f t="shared" ref="L23" si="33">IF(K23&lt;=0,"",IF(K23&lt;=2,"Muy Baja",IF(K23&lt;=24,"Baja",IF(K23&lt;=500,"Media",IF(K23&lt;=5000,"Alta","Muy Alta")))))</f>
        <v>Alta</v>
      </c>
      <c r="M23" s="488">
        <f>IF(L23="","",IF(L23="Muy Baja",0.2,IF(L23="Baja",0.4,IF(L23="Media",0.6,IF(L23="Alta",0.8,IF(L23="Muy Alta",1,))))))</f>
        <v>0.8</v>
      </c>
      <c r="N23" s="489" t="s">
        <v>123</v>
      </c>
      <c r="O23" s="248" t="s">
        <v>123</v>
      </c>
      <c r="P23" s="490" t="s">
        <v>71</v>
      </c>
      <c r="Q23" s="488">
        <f>IF(P23="","",IF(P23="Leve",0.2,IF(P23="Menor",0.4,IF(P23="Moderado",0.6,IF(P23="Mayor",0.8,IF(P23="Catastrófico",1,))))))</f>
        <v>1</v>
      </c>
      <c r="R23" s="491" t="str">
        <f>IF(OR(AND(L23="Muy Baja",P23="Leve"),AND(L23="Muy Baja",P23="Menor"),AND(L23="Baja",P23="Leve")),"Bajo",IF(OR(AND(L23="Muy baja",P23="Moderado"),AND(L23="Baja",P23="Menor"),AND(L23="Baja",P23="Moderado"),AND(L23="Media",P23="Leve"),AND(L23="Media",P23="Menor"),AND(L23="Media",P23="Moderado"),AND(L23="Alta",P23="Leve"),AND(L23="Alta",P23="Menor")),"Moderado",IF(OR(AND(L23="Muy Baja",P23="Mayor"),AND(L23="Baja",P23="Mayor"),AND(L23="Media",P23="Mayor"),AND(L23="Alta",P23="Moderado"),AND(L23="Alta",P23="Mayor"),AND(L23="Muy Alta",P23="Leve"),AND(L23="Muy Alta",P23="Menor"),AND(L23="Muy Alta",P23="Moderado"),AND(L23="Muy Alta",P23="Mayor")),"Alto",IF(OR(AND(L23="Muy Baja",P23="Catastrófico"),AND(L23="Baja",P23="Catastrófico"),AND(L23="Media",P23="Catastrófico"),AND(L23="Alta",P23="Catastrófico"),AND(L23="Muy Alta",P23="Catastrófico")),"Extremo",""))))</f>
        <v>Extremo</v>
      </c>
      <c r="S23" s="235">
        <v>1</v>
      </c>
      <c r="T23" s="323" t="s">
        <v>970</v>
      </c>
      <c r="U23" s="305" t="s">
        <v>293</v>
      </c>
      <c r="V23" s="307" t="str">
        <f t="shared" si="26"/>
        <v>Probabilidad</v>
      </c>
      <c r="W23" s="259" t="s">
        <v>13</v>
      </c>
      <c r="X23" s="259" t="s">
        <v>8</v>
      </c>
      <c r="Y23" s="260" t="str">
        <f t="shared" si="27"/>
        <v>40%</v>
      </c>
      <c r="Z23" s="259" t="s">
        <v>18</v>
      </c>
      <c r="AA23" s="259" t="s">
        <v>21</v>
      </c>
      <c r="AB23" s="259" t="s">
        <v>103</v>
      </c>
      <c r="AC23" s="261">
        <f t="shared" ref="AC23" si="34">IFERROR(IF(V23="Probabilidad",(M23-(+M23*Y23)),IF(V23="Impacto",M23,"")),"")</f>
        <v>0.48</v>
      </c>
      <c r="AD23" s="262" t="str">
        <f>IFERROR(IF(AC23="","",IF(AC23&lt;=0.2,"Muy Baja",IF(AC23&lt;=0.4,"Baja",IF(AC23&lt;=0.6,"Media",IF(AC23&lt;=0.8,"Alta","Muy Alta"))))),"")</f>
        <v>Media</v>
      </c>
      <c r="AE23" s="260">
        <f t="shared" si="29"/>
        <v>0.48</v>
      </c>
      <c r="AF23" s="262" t="str">
        <f t="shared" si="11"/>
        <v>Catastrófico</v>
      </c>
      <c r="AG23" s="260">
        <f>IFERROR(IF(V23="Impacto",(Q23-(+Q23*Y23)),IF(V23="Probabilidad",Q23,"")),"")</f>
        <v>1</v>
      </c>
      <c r="AH23" s="264" t="str">
        <f>IFERROR(IF(OR(AND(AD23="Muy Baja",AF23="Leve"),AND(AD23="Muy Baja",AF23="Menor"),AND(AD23="Baja",AF23="Leve")),"Bajo",IF(OR(AND(AD23="Muy baja",AF23="Moderado"),AND(AD23="Baja",AF23="Menor"),AND(AD23="Baja",AF23="Moderado"),AND(AD23="Media",AF23="Leve"),AND(AD23="Media",AF23="Menor"),AND(AD23="Media",AF23="Moderado"),AND(AD23="Alta",AF23="Leve"),AND(AD23="Alta",AF23="Menor")),"Moderado",IF(OR(AND(AD23="Muy Baja",AF23="Mayor"),AND(AD23="Baja",AF23="Mayor"),AND(AD23="Media",AF23="Mayor"),AND(AD23="Alta",AF23="Moderado"),AND(AD23="Alta",AF23="Mayor"),AND(AD23="Muy Alta",AF23="Leve"),AND(AD23="Muy Alta",AF23="Menor"),AND(AD23="Muy Alta",AF23="Moderado"),AND(AD23="Muy Alta",AF23="Mayor")),"Alto",IF(OR(AND(AD23="Muy Baja",AF23="Catastrófico"),AND(AD23="Baja",AF23="Catastrófico"),AND(AD23="Media",AF23="Catastrófico"),AND(AD23="Alta",AF23="Catastrófico"),AND(AD23="Muy Alta",AF23="Catastrófico")),"Extremo","")))),"")</f>
        <v>Extremo</v>
      </c>
      <c r="AI23" s="259" t="s">
        <v>26</v>
      </c>
      <c r="AJ23" s="236">
        <v>2</v>
      </c>
      <c r="AK23" s="236">
        <v>0</v>
      </c>
      <c r="AL23" s="236">
        <v>1</v>
      </c>
      <c r="AM23" s="236">
        <v>1</v>
      </c>
    </row>
    <row r="24" spans="1:78" ht="128.25" x14ac:dyDescent="0.2">
      <c r="A24" s="463"/>
      <c r="B24" s="464"/>
      <c r="C24" s="465"/>
      <c r="D24" s="466"/>
      <c r="E24" s="466"/>
      <c r="F24" s="494"/>
      <c r="G24" s="467"/>
      <c r="H24" s="494"/>
      <c r="I24" s="492"/>
      <c r="J24" s="492"/>
      <c r="K24" s="493"/>
      <c r="L24" s="490"/>
      <c r="M24" s="488"/>
      <c r="N24" s="489"/>
      <c r="O24" s="248">
        <f>IF(NOT(ISERROR(MATCH(N24,_xlfn.ANCHORARRAY(H49),0))),#REF!&amp;"Por favor no seleccionar los criterios de impacto",N24)</f>
        <v>0</v>
      </c>
      <c r="P24" s="490"/>
      <c r="Q24" s="488"/>
      <c r="R24" s="491"/>
      <c r="S24" s="235">
        <v>2</v>
      </c>
      <c r="T24" s="322" t="s">
        <v>770</v>
      </c>
      <c r="U24" s="305" t="s">
        <v>293</v>
      </c>
      <c r="V24" s="307" t="str">
        <f t="shared" si="26"/>
        <v>Probabilidad</v>
      </c>
      <c r="W24" s="259" t="s">
        <v>13</v>
      </c>
      <c r="X24" s="259" t="s">
        <v>8</v>
      </c>
      <c r="Y24" s="260" t="str">
        <f t="shared" si="27"/>
        <v>40%</v>
      </c>
      <c r="Z24" s="259" t="s">
        <v>19</v>
      </c>
      <c r="AA24" s="259" t="s">
        <v>21</v>
      </c>
      <c r="AB24" s="259" t="s">
        <v>103</v>
      </c>
      <c r="AC24" s="261">
        <f t="shared" ref="AC24" si="35">IFERROR(IF(AND(V23="Probabilidad",V24="Probabilidad"),(AE23-(+AE23*Y24)),IF(V24="Probabilidad",(M23-(+M23*Y24)),IF(V24="Impacto",AE23,""))),"")</f>
        <v>0.28799999999999998</v>
      </c>
      <c r="AD24" s="262" t="str">
        <f t="shared" ref="AD24" si="36">IFERROR(IF(AC24="","",IF(AC24&lt;=0.2,"Muy Baja",IF(AC24&lt;=0.4,"Baja",IF(AC24&lt;=0.6,"Media",IF(AC24&lt;=0.8,"Alta","Muy Alta"))))),"")</f>
        <v>Baja</v>
      </c>
      <c r="AE24" s="260">
        <f t="shared" si="29"/>
        <v>0.28799999999999998</v>
      </c>
      <c r="AF24" s="262" t="str">
        <f t="shared" si="11"/>
        <v>Catastrófico</v>
      </c>
      <c r="AG24" s="260">
        <f>IFERROR(IF(AND(V23="Impacto",V24="Impacto"),(AG23-(+AG23*Y24)),IF(V24="Impacto",($Q$40-(+$Q$40*Y24)),IF(V24="Probabilidad",AG23,""))),"")</f>
        <v>1</v>
      </c>
      <c r="AH24" s="264" t="str">
        <f t="shared" ref="AH24" si="37">IFERROR(IF(OR(AND(AD24="Muy Baja",AF24="Leve"),AND(AD24="Muy Baja",AF24="Menor"),AND(AD24="Baja",AF24="Leve")),"Bajo",IF(OR(AND(AD24="Muy baja",AF24="Moderado"),AND(AD24="Baja",AF24="Menor"),AND(AD24="Baja",AF24="Moderado"),AND(AD24="Media",AF24="Leve"),AND(AD24="Media",AF24="Menor"),AND(AD24="Media",AF24="Moderado"),AND(AD24="Alta",AF24="Leve"),AND(AD24="Alta",AF24="Menor")),"Moderado",IF(OR(AND(AD24="Muy Baja",AF24="Mayor"),AND(AD24="Baja",AF24="Mayor"),AND(AD24="Media",AF24="Mayor"),AND(AD24="Alta",AF24="Moderado"),AND(AD24="Alta",AF24="Mayor"),AND(AD24="Muy Alta",AF24="Leve"),AND(AD24="Muy Alta",AF24="Menor"),AND(AD24="Muy Alta",AF24="Moderado"),AND(AD24="Muy Alta",AF24="Mayor")),"Alto",IF(OR(AND(AD24="Muy Baja",AF24="Catastrófico"),AND(AD24="Baja",AF24="Catastrófico"),AND(AD24="Media",AF24="Catastrófico"),AND(AD24="Alta",AF24="Catastrófico"),AND(AD24="Muy Alta",AF24="Catastrófico")),"Extremo","")))),"")</f>
        <v>Extremo</v>
      </c>
      <c r="AI24" s="259" t="s">
        <v>26</v>
      </c>
      <c r="AJ24" s="236">
        <v>1</v>
      </c>
      <c r="AK24" s="236">
        <v>0</v>
      </c>
      <c r="AL24" s="236">
        <v>0</v>
      </c>
      <c r="AM24" s="236">
        <v>1</v>
      </c>
    </row>
    <row r="25" spans="1:78" ht="190.5" customHeight="1" x14ac:dyDescent="0.2">
      <c r="A25" s="281" t="s">
        <v>692</v>
      </c>
      <c r="B25" s="282" t="s">
        <v>753</v>
      </c>
      <c r="C25" s="211" t="s">
        <v>596</v>
      </c>
      <c r="D25" s="244" t="s">
        <v>618</v>
      </c>
      <c r="E25" s="244" t="s">
        <v>109</v>
      </c>
      <c r="F25" s="324" t="s">
        <v>971</v>
      </c>
      <c r="G25" s="324" t="s">
        <v>972</v>
      </c>
      <c r="H25" s="306" t="s">
        <v>1056</v>
      </c>
      <c r="I25" s="245" t="s">
        <v>654</v>
      </c>
      <c r="J25" s="245" t="s">
        <v>973</v>
      </c>
      <c r="K25" s="247">
        <v>4650</v>
      </c>
      <c r="L25" s="284" t="str">
        <f t="shared" ref="L25" si="38">IF(K25&lt;=0,"",IF(K25&lt;=2,"Muy Baja",IF(K25&lt;=24,"Baja",IF(K25&lt;=500,"Media",IF(K25&lt;=5000,"Alta","Muy Alta")))))</f>
        <v>Alta</v>
      </c>
      <c r="M25" s="248">
        <f>IF(L25="","",IF(L25="Muy Baja",0.2,IF(L25="Baja",0.4,IF(L25="Media",0.6,IF(L25="Alta",0.8,IF(L25="Muy Alta",1,))))))</f>
        <v>0.8</v>
      </c>
      <c r="N25" s="285" t="s">
        <v>116</v>
      </c>
      <c r="O25" s="248" t="s">
        <v>116</v>
      </c>
      <c r="P25" s="284" t="s">
        <v>70</v>
      </c>
      <c r="Q25" s="248">
        <f>IF(P25="","",IF(P25="Leve",0.2,IF(P25="Menor",0.4,IF(P25="Moderado",0.6,IF(P25="Mayor",0.8,IF(P25="Catastrófico",1,))))))</f>
        <v>0.4</v>
      </c>
      <c r="R25" s="280" t="str">
        <f>IF(OR(AND(L25="Muy Baja",P25="Leve"),AND(L25="Muy Baja",P25="Menor"),AND(L25="Baja",P25="Leve")),"Bajo",IF(OR(AND(L25="Muy baja",P25="Moderado"),AND(L25="Baja",P25="Menor"),AND(L25="Baja",P25="Moderado"),AND(L25="Media",P25="Leve"),AND(L25="Media",P25="Menor"),AND(L25="Media",P25="Moderado"),AND(L25="Alta",P25="Leve"),AND(L25="Alta",P25="Menor")),"Moderado",IF(OR(AND(L25="Muy Baja",P25="Mayor"),AND(L25="Baja",P25="Mayor"),AND(L25="Media",P25="Mayor"),AND(L25="Alta",P25="Moderado"),AND(L25="Alta",P25="Mayor"),AND(L25="Muy Alta",P25="Leve"),AND(L25="Muy Alta",P25="Menor"),AND(L25="Muy Alta",P25="Moderado"),AND(L25="Muy Alta",P25="Mayor")),"Alto",IF(OR(AND(L25="Muy Baja",P25="Catastrófico"),AND(L25="Baja",P25="Catastrófico"),AND(L25="Media",P25="Catastrófico"),AND(L25="Alta",P25="Catastrófico"),AND(L25="Muy Alta",P25="Catastrófico")),"Extremo",""))))</f>
        <v>Moderado</v>
      </c>
      <c r="S25" s="235">
        <v>1</v>
      </c>
      <c r="T25" s="323" t="s">
        <v>974</v>
      </c>
      <c r="U25" s="305" t="s">
        <v>293</v>
      </c>
      <c r="V25" s="307" t="str">
        <f t="shared" si="26"/>
        <v>Probabilidad</v>
      </c>
      <c r="W25" s="259" t="s">
        <v>14</v>
      </c>
      <c r="X25" s="259" t="s">
        <v>8</v>
      </c>
      <c r="Y25" s="260" t="str">
        <f t="shared" si="27"/>
        <v>30%</v>
      </c>
      <c r="Z25" s="259" t="s">
        <v>18</v>
      </c>
      <c r="AA25" s="259" t="s">
        <v>21</v>
      </c>
      <c r="AB25" s="259" t="s">
        <v>103</v>
      </c>
      <c r="AC25" s="261">
        <f t="shared" ref="AC25" si="39">IFERROR(IF(V25="Probabilidad",(M25-(+M25*Y25)),IF(V25="Impacto",M25,"")),"")</f>
        <v>0.56000000000000005</v>
      </c>
      <c r="AD25" s="262" t="str">
        <f>IFERROR(IF(AC25="","",IF(AC25&lt;=0.2,"Muy Baja",IF(AC25&lt;=0.4,"Baja",IF(AC25&lt;=0.6,"Media",IF(AC25&lt;=0.8,"Alta","Muy Alta"))))),"")</f>
        <v>Media</v>
      </c>
      <c r="AE25" s="260">
        <f t="shared" si="29"/>
        <v>0.56000000000000005</v>
      </c>
      <c r="AF25" s="262" t="str">
        <f t="shared" si="11"/>
        <v>Menor</v>
      </c>
      <c r="AG25" s="260">
        <f>IFERROR(IF(V25="Impacto",(Q25-(+Q25*Y25)),IF(V25="Probabilidad",Q25,"")),"")</f>
        <v>0.4</v>
      </c>
      <c r="AH25" s="264" t="str">
        <f>IFERROR(IF(OR(AND(AD25="Muy Baja",AF25="Leve"),AND(AD25="Muy Baja",AF25="Menor"),AND(AD25="Baja",AF25="Leve")),"Bajo",IF(OR(AND(AD25="Muy baja",AF25="Moderado"),AND(AD25="Baja",AF25="Menor"),AND(AD25="Baja",AF25="Moderado"),AND(AD25="Media",AF25="Leve"),AND(AD25="Media",AF25="Menor"),AND(AD25="Media",AF25="Moderado"),AND(AD25="Alta",AF25="Leve"),AND(AD25="Alta",AF25="Menor")),"Moderado",IF(OR(AND(AD25="Muy Baja",AF25="Mayor"),AND(AD25="Baja",AF25="Mayor"),AND(AD25="Media",AF25="Mayor"),AND(AD25="Alta",AF25="Moderado"),AND(AD25="Alta",AF25="Mayor"),AND(AD25="Muy Alta",AF25="Leve"),AND(AD25="Muy Alta",AF25="Menor"),AND(AD25="Muy Alta",AF25="Moderado"),AND(AD25="Muy Alta",AF25="Mayor")),"Alto",IF(OR(AND(AD25="Muy Baja",AF25="Catastrófico"),AND(AD25="Baja",AF25="Catastrófico"),AND(AD25="Media",AF25="Catastrófico"),AND(AD25="Alta",AF25="Catastrófico"),AND(AD25="Muy Alta",AF25="Catastrófico")),"Extremo","")))),"")</f>
        <v>Moderado</v>
      </c>
      <c r="AI25" s="259" t="s">
        <v>26</v>
      </c>
      <c r="AJ25" s="236">
        <v>2</v>
      </c>
      <c r="AK25" s="236">
        <v>0</v>
      </c>
      <c r="AL25" s="236">
        <v>1</v>
      </c>
      <c r="AM25" s="236">
        <v>1</v>
      </c>
    </row>
    <row r="26" spans="1:78" ht="185.25" x14ac:dyDescent="0.2">
      <c r="A26" s="281" t="s">
        <v>693</v>
      </c>
      <c r="B26" s="282" t="s">
        <v>753</v>
      </c>
      <c r="C26" s="211" t="s">
        <v>596</v>
      </c>
      <c r="D26" s="244" t="s">
        <v>618</v>
      </c>
      <c r="E26" s="244" t="s">
        <v>107</v>
      </c>
      <c r="F26" s="306" t="s">
        <v>771</v>
      </c>
      <c r="G26" s="306" t="s">
        <v>673</v>
      </c>
      <c r="H26" s="306" t="s">
        <v>1057</v>
      </c>
      <c r="I26" s="245" t="s">
        <v>654</v>
      </c>
      <c r="J26" s="245" t="s">
        <v>772</v>
      </c>
      <c r="K26" s="245">
        <v>1200</v>
      </c>
      <c r="L26" s="284" t="str">
        <f t="shared" ref="L26" si="40">IF(K26&lt;=0,"",IF(K26&lt;=2,"Muy Baja",IF(K26&lt;=24,"Baja",IF(K26&lt;=500,"Media",IF(K26&lt;=5000,"Alta","Muy Alta")))))</f>
        <v>Alta</v>
      </c>
      <c r="M26" s="248">
        <f>IF(L26="","",IF(L26="Muy Baja",0.2,IF(L26="Baja",0.4,IF(L26="Media",0.6,IF(L26="Alta",0.8,IF(L26="Muy Alta",1,))))))</f>
        <v>0.8</v>
      </c>
      <c r="N26" s="285" t="s">
        <v>811</v>
      </c>
      <c r="O26" s="248" t="s">
        <v>811</v>
      </c>
      <c r="P26" s="284" t="s">
        <v>846</v>
      </c>
      <c r="Q26" s="248">
        <f>IF(P26="","",IF(P26="Leve",0.2,IF(P26="Menor",0.4,IF(P26="Moderado",0.6,IF(P26="Mayor",0.8,IF(P26="Catastrófico",1,))))))</f>
        <v>0.4</v>
      </c>
      <c r="R26" s="280" t="str">
        <f>IF(OR(AND(L26="Muy Baja",P26="Leve"),AND(L26="Muy Baja",P26="Menor"),AND(L26="Baja",P26="Leve")),"Bajo",IF(OR(AND(L26="Muy baja",P26="Moderado"),AND(L26="Baja",P26="Menor"),AND(L26="Baja",P26="Moderado"),AND(L26="Media",P26="Leve"),AND(L26="Media",P26="Menor"),AND(L26="Media",P26="Moderado"),AND(L26="Alta",P26="Leve"),AND(L26="Alta",P26="Menor")),"Moderado",IF(OR(AND(L26="Muy Baja",P26="Mayor"),AND(L26="Baja",P26="Mayor"),AND(L26="Media",P26="Mayor"),AND(L26="Alta",P26="Moderado"),AND(L26="Alta",P26="Mayor"),AND(L26="Muy Alta",P26="Leve"),AND(L26="Muy Alta",P26="Menor"),AND(L26="Muy Alta",P26="Moderado"),AND(L26="Muy Alta",P26="Mayor")),"Alto",IF(OR(AND(L26="Muy Baja",P26="Catastrófico"),AND(L26="Baja",P26="Catastrófico"),AND(L26="Media",P26="Catastrófico"),AND(L26="Alta",P26="Catastrófico"),AND(L26="Muy Alta",P26="Catastrófico")),"Extremo",""))))</f>
        <v>Moderado</v>
      </c>
      <c r="S26" s="235">
        <v>1</v>
      </c>
      <c r="T26" s="322" t="s">
        <v>773</v>
      </c>
      <c r="U26" s="305" t="s">
        <v>293</v>
      </c>
      <c r="V26" s="307" t="str">
        <f t="shared" si="26"/>
        <v>Probabilidad</v>
      </c>
      <c r="W26" s="259" t="s">
        <v>13</v>
      </c>
      <c r="X26" s="259" t="s">
        <v>8</v>
      </c>
      <c r="Y26" s="260" t="str">
        <f t="shared" si="27"/>
        <v>40%</v>
      </c>
      <c r="Z26" s="259" t="s">
        <v>19</v>
      </c>
      <c r="AA26" s="259" t="s">
        <v>21</v>
      </c>
      <c r="AB26" s="259" t="s">
        <v>103</v>
      </c>
      <c r="AC26" s="261">
        <f t="shared" ref="AC26" si="41">IFERROR(IF(V26="Probabilidad",(M26-(+M26*Y26)),IF(V26="Impacto",M26,"")),"")</f>
        <v>0.48</v>
      </c>
      <c r="AD26" s="262" t="str">
        <f>IFERROR(IF(AC26="","",IF(AC26&lt;=0.2,"Muy Baja",IF(AC26&lt;=0.4,"Baja",IF(AC26&lt;=0.6,"Media",IF(AC26&lt;=0.8,"Alta","Muy Alta"))))),"")</f>
        <v>Media</v>
      </c>
      <c r="AE26" s="260">
        <f t="shared" si="29"/>
        <v>0.48</v>
      </c>
      <c r="AF26" s="262" t="str">
        <f t="shared" si="11"/>
        <v>Menor</v>
      </c>
      <c r="AG26" s="260">
        <f>IFERROR(IF(V26="Impacto",(Q26-(+Q26*Y26)),IF(V26="Probabilidad",Q26,"")),"")</f>
        <v>0.4</v>
      </c>
      <c r="AH26" s="264" t="str">
        <f>IFERROR(IF(OR(AND(AD26="Muy Baja",AF26="Leve"),AND(AD26="Muy Baja",AF26="Menor"),AND(AD26="Baja",AF26="Leve")),"Bajo",IF(OR(AND(AD26="Muy baja",AF26="Moderado"),AND(AD26="Baja",AF26="Menor"),AND(AD26="Baja",AF26="Moderado"),AND(AD26="Media",AF26="Leve"),AND(AD26="Media",AF26="Menor"),AND(AD26="Media",AF26="Moderado"),AND(AD26="Alta",AF26="Leve"),AND(AD26="Alta",AF26="Menor")),"Moderado",IF(OR(AND(AD26="Muy Baja",AF26="Mayor"),AND(AD26="Baja",AF26="Mayor"),AND(AD26="Media",AF26="Mayor"),AND(AD26="Alta",AF26="Moderado"),AND(AD26="Alta",AF26="Mayor"),AND(AD26="Muy Alta",AF26="Leve"),AND(AD26="Muy Alta",AF26="Menor"),AND(AD26="Muy Alta",AF26="Moderado"),AND(AD26="Muy Alta",AF26="Mayor")),"Alto",IF(OR(AND(AD26="Muy Baja",AF26="Catastrófico"),AND(AD26="Baja",AF26="Catastrófico"),AND(AD26="Media",AF26="Catastrófico"),AND(AD26="Alta",AF26="Catastrófico"),AND(AD26="Muy Alta",AF26="Catastrófico")),"Extremo","")))),"")</f>
        <v>Moderado</v>
      </c>
      <c r="AI26" s="259" t="s">
        <v>26</v>
      </c>
      <c r="AJ26" s="236">
        <v>4</v>
      </c>
      <c r="AK26" s="236">
        <v>1</v>
      </c>
      <c r="AL26" s="236">
        <v>1</v>
      </c>
      <c r="AM26" s="236">
        <v>2</v>
      </c>
    </row>
    <row r="27" spans="1:78" ht="213.75" x14ac:dyDescent="0.2">
      <c r="A27" s="281" t="s">
        <v>694</v>
      </c>
      <c r="B27" s="282" t="s">
        <v>753</v>
      </c>
      <c r="C27" s="211" t="s">
        <v>596</v>
      </c>
      <c r="D27" s="244" t="s">
        <v>618</v>
      </c>
      <c r="E27" s="244" t="s">
        <v>109</v>
      </c>
      <c r="F27" s="324" t="s">
        <v>975</v>
      </c>
      <c r="G27" s="324" t="s">
        <v>976</v>
      </c>
      <c r="H27" s="306" t="s">
        <v>1058</v>
      </c>
      <c r="I27" s="245" t="s">
        <v>654</v>
      </c>
      <c r="J27" s="245" t="s">
        <v>775</v>
      </c>
      <c r="K27" s="330">
        <v>400</v>
      </c>
      <c r="L27" s="284" t="str">
        <f t="shared" ref="L27" si="42">IF(K27&lt;=0,"",IF(K27&lt;=2,"Muy Baja",IF(K27&lt;=24,"Baja",IF(K27&lt;=500,"Media",IF(K27&lt;=5000,"Alta","Muy Alta")))))</f>
        <v>Media</v>
      </c>
      <c r="M27" s="248">
        <f>IF(L27="","",IF(L27="Muy Baja",0.2,IF(L27="Baja",0.4,IF(L27="Media",0.6,IF(L27="Alta",0.8,IF(L27="Muy Alta",1,))))))</f>
        <v>0.6</v>
      </c>
      <c r="N27" s="285" t="s">
        <v>121</v>
      </c>
      <c r="O27" s="248" t="s">
        <v>121</v>
      </c>
      <c r="P27" s="284" t="s">
        <v>67</v>
      </c>
      <c r="Q27" s="248">
        <f>IF(P27="","",IF(P27="Leve",0.2,IF(P27="Menor",0.4,IF(P27="Moderado",0.6,IF(P27="Mayor",0.8,IF(P27="Catastrófico",1,))))))</f>
        <v>0.6</v>
      </c>
      <c r="R27" s="280" t="str">
        <f>IF(OR(AND(L27="Muy Baja",P27="Leve"),AND(L27="Muy Baja",P27="Menor"),AND(L27="Baja",P27="Leve")),"Bajo",IF(OR(AND(L27="Muy baja",P27="Moderado"),AND(L27="Baja",P27="Menor"),AND(L27="Baja",P27="Moderado"),AND(L27="Media",P27="Leve"),AND(L27="Media",P27="Menor"),AND(L27="Media",P27="Moderado"),AND(L27="Alta",P27="Leve"),AND(L27="Alta",P27="Menor")),"Moderado",IF(OR(AND(L27="Muy Baja",P27="Mayor"),AND(L27="Baja",P27="Mayor"),AND(L27="Media",P27="Mayor"),AND(L27="Alta",P27="Moderado"),AND(L27="Alta",P27="Mayor"),AND(L27="Muy Alta",P27="Leve"),AND(L27="Muy Alta",P27="Menor"),AND(L27="Muy Alta",P27="Moderado"),AND(L27="Muy Alta",P27="Mayor")),"Alto",IF(OR(AND(L27="Muy Baja",P27="Catastrófico"),AND(L27="Baja",P27="Catastrófico"),AND(L27="Media",P27="Catastrófico"),AND(L27="Alta",P27="Catastrófico"),AND(L27="Muy Alta",P27="Catastrófico")),"Extremo",""))))</f>
        <v>Moderado</v>
      </c>
      <c r="S27" s="235">
        <v>1</v>
      </c>
      <c r="T27" s="322" t="s">
        <v>776</v>
      </c>
      <c r="U27" s="305" t="s">
        <v>293</v>
      </c>
      <c r="V27" s="307" t="str">
        <f t="shared" si="26"/>
        <v>Probabilidad</v>
      </c>
      <c r="W27" s="259" t="s">
        <v>13</v>
      </c>
      <c r="X27" s="259" t="s">
        <v>8</v>
      </c>
      <c r="Y27" s="260" t="str">
        <f t="shared" si="27"/>
        <v>40%</v>
      </c>
      <c r="Z27" s="259" t="s">
        <v>18</v>
      </c>
      <c r="AA27" s="259" t="s">
        <v>21</v>
      </c>
      <c r="AB27" s="259" t="s">
        <v>103</v>
      </c>
      <c r="AC27" s="261">
        <f t="shared" ref="AC27" si="43">IFERROR(IF(V27="Probabilidad",(M27-(+M27*Y27)),IF(V27="Impacto",M27,"")),"")</f>
        <v>0.36</v>
      </c>
      <c r="AD27" s="262" t="str">
        <f>IFERROR(IF(AC27="","",IF(AC27&lt;=0.2,"Muy Baja",IF(AC27&lt;=0.4,"Baja",IF(AC27&lt;=0.6,"Media",IF(AC27&lt;=0.8,"Alta","Muy Alta"))))),"")</f>
        <v>Baja</v>
      </c>
      <c r="AE27" s="260">
        <f t="shared" si="29"/>
        <v>0.36</v>
      </c>
      <c r="AF27" s="262" t="str">
        <f t="shared" si="11"/>
        <v>Moderado</v>
      </c>
      <c r="AG27" s="260">
        <f>IFERROR(IF(V27="Impacto",(Q27-(+Q27*Y27)),IF(V27="Probabilidad",Q27,"")),"")</f>
        <v>0.6</v>
      </c>
      <c r="AH27" s="264" t="str">
        <f>IFERROR(IF(OR(AND(AD27="Muy Baja",AF27="Leve"),AND(AD27="Muy Baja",AF27="Menor"),AND(AD27="Baja",AF27="Leve")),"Bajo",IF(OR(AND(AD27="Muy baja",AF27="Moderado"),AND(AD27="Baja",AF27="Menor"),AND(AD27="Baja",AF27="Moderado"),AND(AD27="Media",AF27="Leve"),AND(AD27="Media",AF27="Menor"),AND(AD27="Media",AF27="Moderado"),AND(AD27="Alta",AF27="Leve"),AND(AD27="Alta",AF27="Menor")),"Moderado",IF(OR(AND(AD27="Muy Baja",AF27="Mayor"),AND(AD27="Baja",AF27="Mayor"),AND(AD27="Media",AF27="Mayor"),AND(AD27="Alta",AF27="Moderado"),AND(AD27="Alta",AF27="Mayor"),AND(AD27="Muy Alta",AF27="Leve"),AND(AD27="Muy Alta",AF27="Menor"),AND(AD27="Muy Alta",AF27="Moderado"),AND(AD27="Muy Alta",AF27="Mayor")),"Alto",IF(OR(AND(AD27="Muy Baja",AF27="Catastrófico"),AND(AD27="Baja",AF27="Catastrófico"),AND(AD27="Media",AF27="Catastrófico"),AND(AD27="Alta",AF27="Catastrófico"),AND(AD27="Muy Alta",AF27="Catastrófico")),"Extremo","")))),"")</f>
        <v>Moderado</v>
      </c>
      <c r="AI27" s="259" t="s">
        <v>26</v>
      </c>
      <c r="AJ27" s="236">
        <v>12</v>
      </c>
      <c r="AK27" s="236">
        <v>4</v>
      </c>
      <c r="AL27" s="236">
        <v>4</v>
      </c>
      <c r="AM27" s="236">
        <v>4</v>
      </c>
    </row>
    <row r="28" spans="1:78" ht="185.25" x14ac:dyDescent="0.2">
      <c r="A28" s="281" t="s">
        <v>695</v>
      </c>
      <c r="B28" s="282" t="s">
        <v>753</v>
      </c>
      <c r="C28" s="211" t="s">
        <v>596</v>
      </c>
      <c r="D28" s="244" t="s">
        <v>618</v>
      </c>
      <c r="E28" s="244" t="s">
        <v>109</v>
      </c>
      <c r="F28" s="306" t="s">
        <v>774</v>
      </c>
      <c r="G28" s="306" t="s">
        <v>673</v>
      </c>
      <c r="H28" s="306" t="s">
        <v>1059</v>
      </c>
      <c r="I28" s="245" t="s">
        <v>654</v>
      </c>
      <c r="J28" s="245" t="s">
        <v>1082</v>
      </c>
      <c r="K28" s="247">
        <v>1920</v>
      </c>
      <c r="L28" s="284" t="str">
        <f t="shared" ref="L28" si="44">IF(K28&lt;=0,"",IF(K28&lt;=2,"Muy Baja",IF(K28&lt;=24,"Baja",IF(K28&lt;=500,"Media",IF(K28&lt;=5000,"Alta","Muy Alta")))))</f>
        <v>Alta</v>
      </c>
      <c r="M28" s="248">
        <f>IF(L28="","",IF(L28="Muy Baja",0.2,IF(L28="Baja",0.4,IF(L28="Media",0.6,IF(L28="Alta",0.8,IF(L28="Muy Alta",1,))))))</f>
        <v>0.8</v>
      </c>
      <c r="N28" s="285" t="s">
        <v>122</v>
      </c>
      <c r="O28" s="248" t="s">
        <v>122</v>
      </c>
      <c r="P28" s="284" t="s">
        <v>6</v>
      </c>
      <c r="Q28" s="248">
        <f>IF(P28="","",IF(P28="Leve",0.2,IF(P28="Menor",0.4,IF(P28="Moderado",0.6,IF(P28="Mayor",0.8,IF(P28="Catastrófico",1,))))))</f>
        <v>0.8</v>
      </c>
      <c r="R28" s="280" t="str">
        <f>IF(OR(AND(L28="Muy Baja",P28="Leve"),AND(L28="Muy Baja",P28="Menor"),AND(L28="Baja",P28="Leve")),"Bajo",IF(OR(AND(L28="Muy baja",P28="Moderado"),AND(L28="Baja",P28="Menor"),AND(L28="Baja",P28="Moderado"),AND(L28="Media",P28="Leve"),AND(L28="Media",P28="Menor"),AND(L28="Media",P28="Moderado"),AND(L28="Alta",P28="Leve"),AND(L28="Alta",P28="Menor")),"Moderado",IF(OR(AND(L28="Muy Baja",P28="Mayor"),AND(L28="Baja",P28="Mayor"),AND(L28="Media",P28="Mayor"),AND(L28="Alta",P28="Moderado"),AND(L28="Alta",P28="Mayor"),AND(L28="Muy Alta",P28="Leve"),AND(L28="Muy Alta",P28="Menor"),AND(L28="Muy Alta",P28="Moderado"),AND(L28="Muy Alta",P28="Mayor")),"Alto",IF(OR(AND(L28="Muy Baja",P28="Catastrófico"),AND(L28="Baja",P28="Catastrófico"),AND(L28="Media",P28="Catastrófico"),AND(L28="Alta",P28="Catastrófico"),AND(L28="Muy Alta",P28="Catastrófico")),"Extremo",""))))</f>
        <v>Alto</v>
      </c>
      <c r="S28" s="235">
        <v>1</v>
      </c>
      <c r="T28" s="322" t="s">
        <v>977</v>
      </c>
      <c r="U28" s="270" t="s">
        <v>292</v>
      </c>
      <c r="V28" s="307" t="str">
        <f t="shared" si="26"/>
        <v>Probabilidad</v>
      </c>
      <c r="W28" s="259" t="s">
        <v>13</v>
      </c>
      <c r="X28" s="259" t="s">
        <v>8</v>
      </c>
      <c r="Y28" s="260" t="str">
        <f t="shared" si="27"/>
        <v>40%</v>
      </c>
      <c r="Z28" s="278" t="s">
        <v>18</v>
      </c>
      <c r="AA28" s="259" t="s">
        <v>21</v>
      </c>
      <c r="AB28" s="259" t="s">
        <v>103</v>
      </c>
      <c r="AC28" s="261">
        <f t="shared" ref="AC28" si="45">IFERROR(IF(V28="Probabilidad",(M28-(+M28*Y28)),IF(V28="Impacto",M28,"")),"")</f>
        <v>0.48</v>
      </c>
      <c r="AD28" s="262" t="str">
        <f>IFERROR(IF(AC28="","",IF(AC28&lt;=0.2,"Muy Baja",IF(AC28&lt;=0.4,"Baja",IF(AC28&lt;=0.6,"Media",IF(AC28&lt;=0.8,"Alta","Muy Alta"))))),"")</f>
        <v>Media</v>
      </c>
      <c r="AE28" s="260">
        <f t="shared" si="29"/>
        <v>0.48</v>
      </c>
      <c r="AF28" s="262" t="str">
        <f t="shared" si="11"/>
        <v>Mayor</v>
      </c>
      <c r="AG28" s="260">
        <f>IFERROR(IF(V28="Impacto",(Q28-(+Q28*Y28)),IF(V28="Probabilidad",Q28,"")),"")</f>
        <v>0.8</v>
      </c>
      <c r="AH28" s="264" t="str">
        <f>IFERROR(IF(OR(AND(AD28="Muy Baja",AF28="Leve"),AND(AD28="Muy Baja",AF28="Menor"),AND(AD28="Baja",AF28="Leve")),"Bajo",IF(OR(AND(AD28="Muy baja",AF28="Moderado"),AND(AD28="Baja",AF28="Menor"),AND(AD28="Baja",AF28="Moderado"),AND(AD28="Media",AF28="Leve"),AND(AD28="Media",AF28="Menor"),AND(AD28="Media",AF28="Moderado"),AND(AD28="Alta",AF28="Leve"),AND(AD28="Alta",AF28="Menor")),"Moderado",IF(OR(AND(AD28="Muy Baja",AF28="Mayor"),AND(AD28="Baja",AF28="Mayor"),AND(AD28="Media",AF28="Mayor"),AND(AD28="Alta",AF28="Moderado"),AND(AD28="Alta",AF28="Mayor"),AND(AD28="Muy Alta",AF28="Leve"),AND(AD28="Muy Alta",AF28="Menor"),AND(AD28="Muy Alta",AF28="Moderado"),AND(AD28="Muy Alta",AF28="Mayor")),"Alto",IF(OR(AND(AD28="Muy Baja",AF28="Catastrófico"),AND(AD28="Baja",AF28="Catastrófico"),AND(AD28="Media",AF28="Catastrófico"),AND(AD28="Alta",AF28="Catastrófico"),AND(AD28="Muy Alta",AF28="Catastrófico")),"Extremo","")))),"")</f>
        <v>Alto</v>
      </c>
      <c r="AI28" s="259" t="s">
        <v>26</v>
      </c>
      <c r="AJ28" s="236">
        <v>4</v>
      </c>
      <c r="AK28" s="236">
        <v>1</v>
      </c>
      <c r="AL28" s="236">
        <v>1</v>
      </c>
      <c r="AM28" s="236">
        <v>2</v>
      </c>
    </row>
    <row r="29" spans="1:78" ht="171" x14ac:dyDescent="0.2">
      <c r="A29" s="463" t="s">
        <v>696</v>
      </c>
      <c r="B29" s="464" t="s">
        <v>753</v>
      </c>
      <c r="C29" s="465" t="s">
        <v>596</v>
      </c>
      <c r="D29" s="466" t="s">
        <v>618</v>
      </c>
      <c r="E29" s="466" t="s">
        <v>109</v>
      </c>
      <c r="F29" s="494" t="s">
        <v>978</v>
      </c>
      <c r="G29" s="467" t="s">
        <v>673</v>
      </c>
      <c r="H29" s="467" t="s">
        <v>1060</v>
      </c>
      <c r="I29" s="492" t="s">
        <v>654</v>
      </c>
      <c r="J29" s="492" t="s">
        <v>814</v>
      </c>
      <c r="K29" s="497">
        <v>14</v>
      </c>
      <c r="L29" s="490" t="str">
        <f t="shared" ref="L29" si="46">IF(K29&lt;=0,"",IF(K29&lt;=2,"Muy Baja",IF(K29&lt;=24,"Baja",IF(K29&lt;=500,"Media",IF(K29&lt;=5000,"Alta","Muy Alta")))))</f>
        <v>Baja</v>
      </c>
      <c r="M29" s="488">
        <f>IF(L29="","",IF(L29="Muy Baja",0.2,IF(L29="Baja",0.4,IF(L29="Media",0.6,IF(L29="Alta",0.8,IF(L29="Muy Alta",1,))))))</f>
        <v>0.4</v>
      </c>
      <c r="N29" s="489" t="s">
        <v>122</v>
      </c>
      <c r="O29" s="248" t="s">
        <v>122</v>
      </c>
      <c r="P29" s="490" t="s">
        <v>6</v>
      </c>
      <c r="Q29" s="488">
        <f>IF(P29="","",IF(P29="Leve",0.2,IF(P29="Menor",0.4,IF(P29="Moderado",0.6,IF(P29="Mayor",0.8,IF(P29="Catastrófico",1,))))))</f>
        <v>0.8</v>
      </c>
      <c r="R29" s="491" t="str">
        <f>IF(OR(AND(L29="Muy Baja",P29="Leve"),AND(L29="Muy Baja",P29="Menor"),AND(L29="Baja",P29="Leve")),"Bajo",IF(OR(AND(L29="Muy baja",P29="Moderado"),AND(L29="Baja",P29="Menor"),AND(L29="Baja",P29="Moderado"),AND(L29="Media",P29="Leve"),AND(L29="Media",P29="Menor"),AND(L29="Media",P29="Moderado"),AND(L29="Alta",P29="Leve"),AND(L29="Alta",P29="Menor")),"Moderado",IF(OR(AND(L29="Muy Baja",P29="Mayor"),AND(L29="Baja",P29="Mayor"),AND(L29="Media",P29="Mayor"),AND(L29="Alta",P29="Moderado"),AND(L29="Alta",P29="Mayor"),AND(L29="Muy Alta",P29="Leve"),AND(L29="Muy Alta",P29="Menor"),AND(L29="Muy Alta",P29="Moderado"),AND(L29="Muy Alta",P29="Mayor")),"Alto",IF(OR(AND(L29="Muy Baja",P29="Catastrófico"),AND(L29="Baja",P29="Catastrófico"),AND(L29="Media",P29="Catastrófico"),AND(L29="Alta",P29="Catastrófico"),AND(L29="Muy Alta",P29="Catastrófico")),"Extremo",""))))</f>
        <v>Alto</v>
      </c>
      <c r="S29" s="235">
        <v>1</v>
      </c>
      <c r="T29" s="324" t="s">
        <v>979</v>
      </c>
      <c r="U29" s="245" t="s">
        <v>292</v>
      </c>
      <c r="V29" s="307" t="str">
        <f t="shared" si="26"/>
        <v>Probabilidad</v>
      </c>
      <c r="W29" s="259" t="s">
        <v>14</v>
      </c>
      <c r="X29" s="259" t="s">
        <v>8</v>
      </c>
      <c r="Y29" s="260" t="str">
        <f t="shared" si="27"/>
        <v>30%</v>
      </c>
      <c r="Z29" s="278" t="s">
        <v>18</v>
      </c>
      <c r="AA29" s="259" t="s">
        <v>21</v>
      </c>
      <c r="AB29" s="259" t="s">
        <v>103</v>
      </c>
      <c r="AC29" s="261">
        <f t="shared" ref="AC29" si="47">IFERROR(IF(V29="Probabilidad",(M29-(+M29*Y29)),IF(V29="Impacto",M29,"")),"")</f>
        <v>0.28000000000000003</v>
      </c>
      <c r="AD29" s="262" t="str">
        <f>IFERROR(IF(AC29="","",IF(AC29&lt;=0.2,"Muy Baja",IF(AC29&lt;=0.4,"Baja",IF(AC29&lt;=0.6,"Media",IF(AC29&lt;=0.8,"Alta","Muy Alta"))))),"")</f>
        <v>Baja</v>
      </c>
      <c r="AE29" s="260">
        <f t="shared" si="29"/>
        <v>0.28000000000000003</v>
      </c>
      <c r="AF29" s="262" t="str">
        <f t="shared" si="11"/>
        <v>Mayor</v>
      </c>
      <c r="AG29" s="260">
        <f>IFERROR(IF(V29="Impacto",(Q29-(+Q29*Y29)),IF(V29="Probabilidad",Q29,"")),"")</f>
        <v>0.8</v>
      </c>
      <c r="AH29" s="264" t="str">
        <f>IFERROR(IF(OR(AND(AD29="Muy Baja",AF29="Leve"),AND(AD29="Muy Baja",AF29="Menor"),AND(AD29="Baja",AF29="Leve")),"Bajo",IF(OR(AND(AD29="Muy baja",AF29="Moderado"),AND(AD29="Baja",AF29="Menor"),AND(AD29="Baja",AF29="Moderado"),AND(AD29="Media",AF29="Leve"),AND(AD29="Media",AF29="Menor"),AND(AD29="Media",AF29="Moderado"),AND(AD29="Alta",AF29="Leve"),AND(AD29="Alta",AF29="Menor")),"Moderado",IF(OR(AND(AD29="Muy Baja",AF29="Mayor"),AND(AD29="Baja",AF29="Mayor"),AND(AD29="Media",AF29="Mayor"),AND(AD29="Alta",AF29="Moderado"),AND(AD29="Alta",AF29="Mayor"),AND(AD29="Muy Alta",AF29="Leve"),AND(AD29="Muy Alta",AF29="Menor"),AND(AD29="Muy Alta",AF29="Moderado"),AND(AD29="Muy Alta",AF29="Mayor")),"Alto",IF(OR(AND(AD29="Muy Baja",AF29="Catastrófico"),AND(AD29="Baja",AF29="Catastrófico"),AND(AD29="Media",AF29="Catastrófico"),AND(AD29="Alta",AF29="Catastrófico"),AND(AD29="Muy Alta",AF29="Catastrófico")),"Extremo","")))),"")</f>
        <v>Alto</v>
      </c>
      <c r="AI29" s="259" t="s">
        <v>26</v>
      </c>
      <c r="AJ29" s="236">
        <v>12</v>
      </c>
      <c r="AK29" s="236">
        <v>4</v>
      </c>
      <c r="AL29" s="236">
        <v>4</v>
      </c>
      <c r="AM29" s="236">
        <v>4</v>
      </c>
    </row>
    <row r="30" spans="1:78" ht="185.25" x14ac:dyDescent="0.2">
      <c r="A30" s="463"/>
      <c r="B30" s="464"/>
      <c r="C30" s="465"/>
      <c r="D30" s="466"/>
      <c r="E30" s="466"/>
      <c r="F30" s="494"/>
      <c r="G30" s="467"/>
      <c r="H30" s="467"/>
      <c r="I30" s="492"/>
      <c r="J30" s="492"/>
      <c r="K30" s="496"/>
      <c r="L30" s="490"/>
      <c r="M30" s="488"/>
      <c r="N30" s="489"/>
      <c r="O30" s="248">
        <f>IF(NOT(ISERROR(MATCH(N30,_xlfn.ANCHORARRAY(H50),0))),#REF!&amp;"Por favor no seleccionar los criterios de impacto",N30)</f>
        <v>0</v>
      </c>
      <c r="P30" s="490"/>
      <c r="Q30" s="488"/>
      <c r="R30" s="491"/>
      <c r="S30" s="235">
        <v>2</v>
      </c>
      <c r="T30" s="324" t="s">
        <v>980</v>
      </c>
      <c r="U30" s="245" t="s">
        <v>292</v>
      </c>
      <c r="V30" s="307" t="str">
        <f t="shared" si="26"/>
        <v>Probabilidad</v>
      </c>
      <c r="W30" s="259" t="s">
        <v>13</v>
      </c>
      <c r="X30" s="259" t="s">
        <v>8</v>
      </c>
      <c r="Y30" s="260" t="str">
        <f t="shared" si="27"/>
        <v>40%</v>
      </c>
      <c r="Z30" s="278" t="s">
        <v>19</v>
      </c>
      <c r="AA30" s="259" t="s">
        <v>21</v>
      </c>
      <c r="AB30" s="259" t="s">
        <v>103</v>
      </c>
      <c r="AC30" s="261">
        <f t="shared" ref="AC30" si="48">IFERROR(IF(AND(V29="Probabilidad",V30="Probabilidad"),(AE29-(+AE29*Y30)),IF(V30="Probabilidad",(M29-(+M29*Y30)),IF(V30="Impacto",AE29,""))),"")</f>
        <v>0.16800000000000001</v>
      </c>
      <c r="AD30" s="262" t="str">
        <f t="shared" ref="AD30" si="49">IFERROR(IF(AC30="","",IF(AC30&lt;=0.2,"Muy Baja",IF(AC30&lt;=0.4,"Baja",IF(AC30&lt;=0.6,"Media",IF(AC30&lt;=0.8,"Alta","Muy Alta"))))),"")</f>
        <v>Muy Baja</v>
      </c>
      <c r="AE30" s="260">
        <f t="shared" si="29"/>
        <v>0.16800000000000001</v>
      </c>
      <c r="AF30" s="262" t="str">
        <f t="shared" si="11"/>
        <v>Mayor</v>
      </c>
      <c r="AG30" s="260">
        <f>IFERROR(IF(AND(V29="Impacto",V30="Impacto"),(AG29-(+AG29*Y30)),IF(V30="Impacto",(#REF!-(+#REF!*Y30)),IF(V30="Probabilidad",AG29,""))),"")</f>
        <v>0.8</v>
      </c>
      <c r="AH30" s="264" t="str">
        <f t="shared" ref="AH30" si="50">IFERROR(IF(OR(AND(AD30="Muy Baja",AF30="Leve"),AND(AD30="Muy Baja",AF30="Menor"),AND(AD30="Baja",AF30="Leve")),"Bajo",IF(OR(AND(AD30="Muy baja",AF30="Moderado"),AND(AD30="Baja",AF30="Menor"),AND(AD30="Baja",AF30="Moderado"),AND(AD30="Media",AF30="Leve"),AND(AD30="Media",AF30="Menor"),AND(AD30="Media",AF30="Moderado"),AND(AD30="Alta",AF30="Leve"),AND(AD30="Alta",AF30="Menor")),"Moderado",IF(OR(AND(AD30="Muy Baja",AF30="Mayor"),AND(AD30="Baja",AF30="Mayor"),AND(AD30="Media",AF30="Mayor"),AND(AD30="Alta",AF30="Moderado"),AND(AD30="Alta",AF30="Mayor"),AND(AD30="Muy Alta",AF30="Leve"),AND(AD30="Muy Alta",AF30="Menor"),AND(AD30="Muy Alta",AF30="Moderado"),AND(AD30="Muy Alta",AF30="Mayor")),"Alto",IF(OR(AND(AD30="Muy Baja",AF30="Catastrófico"),AND(AD30="Baja",AF30="Catastrófico"),AND(AD30="Media",AF30="Catastrófico"),AND(AD30="Alta",AF30="Catastrófico"),AND(AD30="Muy Alta",AF30="Catastrófico")),"Extremo","")))),"")</f>
        <v>Alto</v>
      </c>
      <c r="AI30" s="259" t="s">
        <v>26</v>
      </c>
      <c r="AJ30" s="236">
        <v>12</v>
      </c>
      <c r="AK30" s="236">
        <v>4</v>
      </c>
      <c r="AL30" s="236">
        <v>4</v>
      </c>
      <c r="AM30" s="236">
        <v>4</v>
      </c>
    </row>
    <row r="31" spans="1:78" s="252" customFormat="1" ht="150" customHeight="1" x14ac:dyDescent="0.2">
      <c r="A31" s="463" t="s">
        <v>697</v>
      </c>
      <c r="B31" s="464" t="s">
        <v>753</v>
      </c>
      <c r="C31" s="465" t="s">
        <v>698</v>
      </c>
      <c r="D31" s="466" t="s">
        <v>624</v>
      </c>
      <c r="E31" s="466" t="s">
        <v>109</v>
      </c>
      <c r="F31" s="467" t="s">
        <v>869</v>
      </c>
      <c r="G31" s="467" t="s">
        <v>868</v>
      </c>
      <c r="H31" s="467" t="s">
        <v>1061</v>
      </c>
      <c r="I31" s="492" t="s">
        <v>654</v>
      </c>
      <c r="J31" s="492" t="s">
        <v>817</v>
      </c>
      <c r="K31" s="493">
        <v>5</v>
      </c>
      <c r="L31" s="490" t="str">
        <f t="shared" ref="L31" si="51">IF(K31&lt;=0,"",IF(K31&lt;=2,"Muy Baja",IF(K31&lt;=24,"Baja",IF(K31&lt;=500,"Media",IF(K31&lt;=5000,"Alta","Muy Alta")))))</f>
        <v>Baja</v>
      </c>
      <c r="M31" s="488">
        <f>IF(L31="","",IF(L31="Muy Baja",0.2,IF(L31="Baja",0.4,IF(L31="Media",0.6,IF(L31="Alta",0.8,IF(L31="Muy Alta",1,))))))</f>
        <v>0.4</v>
      </c>
      <c r="N31" s="489" t="s">
        <v>121</v>
      </c>
      <c r="O31" s="248" t="str">
        <f>IF(NOT(ISERROR(MATCH(N31,'Tabla Impacto'!$B$221:$B$223,0))),'Tabla Impacto'!$F$223&amp;"Por favor no seleccionar los criterios de impacto(Afectación Económica o presupuestal y Pérdida Reputacional)",N31)</f>
        <v xml:space="preserve">     El riesgo afecta la imagen de la entidad con algunos usuarios de relevancia frente al logro de los objetivos</v>
      </c>
      <c r="P31" s="490" t="str">
        <f>IF(OR(O31='Tabla Impacto'!$C$11,O31='Tabla Impacto'!$D$11),"Leve",IF(OR(O31='Tabla Impacto'!$C$12,O31='Tabla Impacto'!$D$12),"Menor",IF(OR(O31='Tabla Impacto'!$C$13,O31='Tabla Impacto'!$D$13),"Moderado",IF(OR(O31='Tabla Impacto'!$C$14,O31='Tabla Impacto'!$D$14),"Mayor",IF(OR(O31='Tabla Impacto'!$C$15,O31='Tabla Impacto'!$D$15),"Catastrófico","")))))</f>
        <v>Moderado</v>
      </c>
      <c r="Q31" s="488">
        <f>IF(P31="","",IF(P31="Leve",0.2,IF(P31="Menor",0.4,IF(P31="Moderado",0.6,IF(P31="Mayor",0.8,IF(P31="Catastrófico",1,))))))</f>
        <v>0.6</v>
      </c>
      <c r="R31" s="491" t="str">
        <f>IF(OR(AND(L31="Muy Baja",P31="Leve"),AND(L31="Muy Baja",P31="Menor"),AND(L31="Baja",P31="Leve")),"Bajo",IF(OR(AND(L31="Muy baja",P31="Moderado"),AND(L31="Baja",P31="Menor"),AND(L31="Baja",P31="Moderado"),AND(L31="Media",P31="Leve"),AND(L31="Media",P31="Menor"),AND(L31="Media",P31="Moderado"),AND(L31="Alta",P31="Leve"),AND(L31="Alta",P31="Menor")),"Moderado",IF(OR(AND(L31="Muy Baja",P31="Mayor"),AND(L31="Baja",P31="Mayor"),AND(L31="Media",P31="Mayor"),AND(L31="Alta",P31="Moderado"),AND(L31="Alta",P31="Mayor"),AND(L31="Muy Alta",P31="Leve"),AND(L31="Muy Alta",P31="Menor"),AND(L31="Muy Alta",P31="Moderado"),AND(L31="Muy Alta",P31="Mayor")),"Alto",IF(OR(AND(L31="Muy Baja",P31="Catastrófico"),AND(L31="Baja",P31="Catastrófico"),AND(L31="Media",P31="Catastrófico"),AND(L31="Alta",P31="Catastrófico"),AND(L31="Muy Alta",P31="Catastrófico")),"Extremo",""))))</f>
        <v>Moderado</v>
      </c>
      <c r="S31" s="235">
        <v>1</v>
      </c>
      <c r="T31" s="322" t="s">
        <v>866</v>
      </c>
      <c r="U31" s="305" t="s">
        <v>293</v>
      </c>
      <c r="V31" s="307" t="str">
        <f t="shared" si="26"/>
        <v>Probabilidad</v>
      </c>
      <c r="W31" s="259" t="s">
        <v>13</v>
      </c>
      <c r="X31" s="259" t="s">
        <v>8</v>
      </c>
      <c r="Y31" s="260" t="str">
        <f t="shared" si="27"/>
        <v>40%</v>
      </c>
      <c r="Z31" s="259" t="s">
        <v>18</v>
      </c>
      <c r="AA31" s="259" t="s">
        <v>21</v>
      </c>
      <c r="AB31" s="259" t="s">
        <v>103</v>
      </c>
      <c r="AC31" s="261">
        <f t="shared" ref="AC31" si="52">IFERROR(IF(V31="Probabilidad",(M31-(+M31*Y31)),IF(V31="Impacto",M31,"")),"")</f>
        <v>0.24</v>
      </c>
      <c r="AD31" s="262" t="str">
        <f>IFERROR(IF(AC31="","",IF(AC31&lt;=0.2,"Muy Baja",IF(AC31&lt;=0.4,"Baja",IF(AC31&lt;=0.6,"Media",IF(AC31&lt;=0.8,"Alta","Muy Alta"))))),"")</f>
        <v>Baja</v>
      </c>
      <c r="AE31" s="260">
        <f t="shared" si="29"/>
        <v>0.24</v>
      </c>
      <c r="AF31" s="262" t="str">
        <f t="shared" si="11"/>
        <v>Moderado</v>
      </c>
      <c r="AG31" s="260">
        <f>IFERROR(IF(V31="Impacto",(Q31-(+Q31*Y31)),IF(V31="Probabilidad",Q31,"")),"")</f>
        <v>0.6</v>
      </c>
      <c r="AH31" s="264" t="str">
        <f>IFERROR(IF(OR(AND(AD31="Muy Baja",AF31="Leve"),AND(AD31="Muy Baja",AF31="Menor"),AND(AD31="Baja",AF31="Leve")),"Bajo",IF(OR(AND(AD31="Muy baja",AF31="Moderado"),AND(AD31="Baja",AF31="Menor"),AND(AD31="Baja",AF31="Moderado"),AND(AD31="Media",AF31="Leve"),AND(AD31="Media",AF31="Menor"),AND(AD31="Media",AF31="Moderado"),AND(AD31="Alta",AF31="Leve"),AND(AD31="Alta",AF31="Menor")),"Moderado",IF(OR(AND(AD31="Muy Baja",AF31="Mayor"),AND(AD31="Baja",AF31="Mayor"),AND(AD31="Media",AF31="Mayor"),AND(AD31="Alta",AF31="Moderado"),AND(AD31="Alta",AF31="Mayor"),AND(AD31="Muy Alta",AF31="Leve"),AND(AD31="Muy Alta",AF31="Menor"),AND(AD31="Muy Alta",AF31="Moderado"),AND(AD31="Muy Alta",AF31="Mayor")),"Alto",IF(OR(AND(AD31="Muy Baja",AF31="Catastrófico"),AND(AD31="Baja",AF31="Catastrófico"),AND(AD31="Media",AF31="Catastrófico"),AND(AD31="Alta",AF31="Catastrófico"),AND(AD31="Muy Alta",AF31="Catastrófico")),"Extremo","")))),"")</f>
        <v>Moderado</v>
      </c>
      <c r="AI31" s="259" t="s">
        <v>26</v>
      </c>
      <c r="AJ31" s="236">
        <v>12</v>
      </c>
      <c r="AK31" s="236">
        <v>4</v>
      </c>
      <c r="AL31" s="236">
        <v>4</v>
      </c>
      <c r="AM31" s="236">
        <v>4</v>
      </c>
      <c r="AN31" s="232"/>
      <c r="AO31" s="237"/>
      <c r="AP31" s="237"/>
      <c r="AQ31" s="231"/>
      <c r="AR31" s="239"/>
      <c r="AS31" s="240"/>
      <c r="AT31" s="182"/>
      <c r="AU31" s="251"/>
      <c r="AV31" s="251"/>
      <c r="AW31" s="251"/>
      <c r="AX31" s="251"/>
      <c r="AY31" s="251"/>
      <c r="AZ31" s="251"/>
      <c r="BA31" s="251"/>
      <c r="BB31" s="251"/>
      <c r="BC31" s="251"/>
      <c r="BD31" s="251"/>
      <c r="BE31" s="251"/>
      <c r="BF31" s="251"/>
      <c r="BG31" s="251"/>
      <c r="BH31" s="251"/>
      <c r="BI31" s="251"/>
      <c r="BJ31" s="251"/>
      <c r="BK31" s="251"/>
      <c r="BL31" s="251"/>
      <c r="BM31" s="251"/>
      <c r="BN31" s="251"/>
      <c r="BO31" s="251"/>
      <c r="BP31" s="251"/>
      <c r="BQ31" s="251"/>
      <c r="BR31" s="251"/>
      <c r="BS31" s="251"/>
      <c r="BT31" s="251"/>
      <c r="BU31" s="251"/>
      <c r="BV31" s="251"/>
      <c r="BW31" s="251"/>
      <c r="BX31" s="251"/>
      <c r="BY31" s="251"/>
      <c r="BZ31" s="251"/>
    </row>
    <row r="32" spans="1:78" s="251" customFormat="1" ht="132" customHeight="1" x14ac:dyDescent="0.2">
      <c r="A32" s="463"/>
      <c r="B32" s="464"/>
      <c r="C32" s="465"/>
      <c r="D32" s="466"/>
      <c r="E32" s="466"/>
      <c r="F32" s="467"/>
      <c r="G32" s="467"/>
      <c r="H32" s="467"/>
      <c r="I32" s="492"/>
      <c r="J32" s="492"/>
      <c r="K32" s="493"/>
      <c r="L32" s="490"/>
      <c r="M32" s="488"/>
      <c r="N32" s="489"/>
      <c r="O32" s="248">
        <f>IF(NOT(ISERROR(MATCH(N32,_xlfn.ANCHORARRAY(#REF!),0))),#REF!&amp;"Por favor no seleccionar los criterios de impacto",N32)</f>
        <v>0</v>
      </c>
      <c r="P32" s="490"/>
      <c r="Q32" s="488"/>
      <c r="R32" s="491"/>
      <c r="S32" s="235">
        <v>2</v>
      </c>
      <c r="T32" s="327" t="s">
        <v>867</v>
      </c>
      <c r="U32" s="305" t="s">
        <v>293</v>
      </c>
      <c r="V32" s="307" t="str">
        <f t="shared" si="26"/>
        <v>Probabilidad</v>
      </c>
      <c r="W32" s="259" t="s">
        <v>13</v>
      </c>
      <c r="X32" s="259" t="s">
        <v>8</v>
      </c>
      <c r="Y32" s="260" t="str">
        <f t="shared" si="27"/>
        <v>40%</v>
      </c>
      <c r="Z32" s="259" t="s">
        <v>18</v>
      </c>
      <c r="AA32" s="259" t="s">
        <v>21</v>
      </c>
      <c r="AB32" s="259" t="s">
        <v>103</v>
      </c>
      <c r="AC32" s="261">
        <f t="shared" ref="AC32" si="53">IFERROR(IF(AND(V31="Probabilidad",V32="Probabilidad"),(AE31-(+AE31*Y32)),IF(V32="Probabilidad",(M31-(+M31*Y32)),IF(V32="Impacto",AE31,""))),"")</f>
        <v>0.14399999999999999</v>
      </c>
      <c r="AD32" s="262" t="str">
        <f t="shared" ref="AD32" si="54">IFERROR(IF(AC32="","",IF(AC32&lt;=0.2,"Muy Baja",IF(AC32&lt;=0.4,"Baja",IF(AC32&lt;=0.6,"Media",IF(AC32&lt;=0.8,"Alta","Muy Alta"))))),"")</f>
        <v>Muy Baja</v>
      </c>
      <c r="AE32" s="260">
        <f t="shared" si="29"/>
        <v>0.14399999999999999</v>
      </c>
      <c r="AF32" s="262" t="str">
        <f t="shared" si="11"/>
        <v>Moderado</v>
      </c>
      <c r="AG32" s="260">
        <f>IFERROR(IF(AND(V31="Impacto",V32="Impacto"),(AG31-(+AG31*Y32)),IF(V32="Impacto",($Q$31-(+$Q$31*Y32)),IF(V32="Probabilidad",AG31,""))),"")</f>
        <v>0.6</v>
      </c>
      <c r="AH32" s="264" t="str">
        <f t="shared" ref="AH32" si="55">IFERROR(IF(OR(AND(AD32="Muy Baja",AF32="Leve"),AND(AD32="Muy Baja",AF32="Menor"),AND(AD32="Baja",AF32="Leve")),"Bajo",IF(OR(AND(AD32="Muy baja",AF32="Moderado"),AND(AD32="Baja",AF32="Menor"),AND(AD32="Baja",AF32="Moderado"),AND(AD32="Media",AF32="Leve"),AND(AD32="Media",AF32="Menor"),AND(AD32="Media",AF32="Moderado"),AND(AD32="Alta",AF32="Leve"),AND(AD32="Alta",AF32="Menor")),"Moderado",IF(OR(AND(AD32="Muy Baja",AF32="Mayor"),AND(AD32="Baja",AF32="Mayor"),AND(AD32="Media",AF32="Mayor"),AND(AD32="Alta",AF32="Moderado"),AND(AD32="Alta",AF32="Mayor"),AND(AD32="Muy Alta",AF32="Leve"),AND(AD32="Muy Alta",AF32="Menor"),AND(AD32="Muy Alta",AF32="Moderado"),AND(AD32="Muy Alta",AF32="Mayor")),"Alto",IF(OR(AND(AD32="Muy Baja",AF32="Catastrófico"),AND(AD32="Baja",AF32="Catastrófico"),AND(AD32="Media",AF32="Catastrófico"),AND(AD32="Alta",AF32="Catastrófico"),AND(AD32="Muy Alta",AF32="Catastrófico")),"Extremo","")))),"")</f>
        <v>Moderado</v>
      </c>
      <c r="AI32" s="259" t="s">
        <v>26</v>
      </c>
      <c r="AJ32" s="236">
        <v>24</v>
      </c>
      <c r="AK32" s="236">
        <v>8</v>
      </c>
      <c r="AL32" s="236">
        <v>8</v>
      </c>
      <c r="AM32" s="236">
        <v>8</v>
      </c>
      <c r="AN32" s="247"/>
      <c r="AO32" s="246"/>
      <c r="AP32" s="246"/>
      <c r="AQ32" s="245"/>
      <c r="AR32" s="238"/>
      <c r="AS32" s="246"/>
      <c r="AT32" s="182"/>
    </row>
    <row r="33" spans="1:78" s="252" customFormat="1" ht="92.25" customHeight="1" x14ac:dyDescent="0.2">
      <c r="A33" s="463" t="s">
        <v>699</v>
      </c>
      <c r="B33" s="464" t="s">
        <v>753</v>
      </c>
      <c r="C33" s="465" t="s">
        <v>698</v>
      </c>
      <c r="D33" s="466" t="s">
        <v>624</v>
      </c>
      <c r="E33" s="466" t="s">
        <v>107</v>
      </c>
      <c r="F33" s="467" t="s">
        <v>865</v>
      </c>
      <c r="G33" s="467" t="s">
        <v>673</v>
      </c>
      <c r="H33" s="467" t="s">
        <v>1062</v>
      </c>
      <c r="I33" s="492" t="s">
        <v>654</v>
      </c>
      <c r="J33" s="492" t="s">
        <v>818</v>
      </c>
      <c r="K33" s="493">
        <v>5</v>
      </c>
      <c r="L33" s="490" t="str">
        <f t="shared" ref="L33" si="56">IF(K33&lt;=0,"",IF(K33&lt;=2,"Muy Baja",IF(K33&lt;=24,"Baja",IF(K33&lt;=500,"Media",IF(K33&lt;=5000,"Alta","Muy Alta")))))</f>
        <v>Baja</v>
      </c>
      <c r="M33" s="488">
        <f>IF(L33="","",IF(L33="Muy Baja",0.2,IF(L33="Baja",0.4,IF(L33="Media",0.6,IF(L33="Alta",0.8,IF(L33="Muy Alta",1,))))))</f>
        <v>0.4</v>
      </c>
      <c r="N33" s="489" t="s">
        <v>121</v>
      </c>
      <c r="O33" s="248" t="str">
        <f>IF(NOT(ISERROR(MATCH(N33,'Tabla Impacto'!$B$221:$B$223,0))),'Tabla Impacto'!$F$223&amp;"Por favor no seleccionar los criterios de impacto(Afectación Económica o presupuestal y Pérdida Reputacional)",N33)</f>
        <v xml:space="preserve">     El riesgo afecta la imagen de la entidad con algunos usuarios de relevancia frente al logro de los objetivos</v>
      </c>
      <c r="P33" s="490" t="str">
        <f>IF(OR(O33='Tabla Impacto'!$C$11,O33='Tabla Impacto'!$D$11),"Leve",IF(OR(O33='Tabla Impacto'!$C$12,O33='Tabla Impacto'!$D$12),"Menor",IF(OR(O33='Tabla Impacto'!$C$13,O33='Tabla Impacto'!$D$13),"Moderado",IF(OR(O33='Tabla Impacto'!$C$14,O33='Tabla Impacto'!$D$14),"Mayor",IF(OR(O33='Tabla Impacto'!$C$15,O33='Tabla Impacto'!$D$15),"Catastrófico","")))))</f>
        <v>Moderado</v>
      </c>
      <c r="Q33" s="488">
        <f>IF(P33="","",IF(P33="Leve",0.2,IF(P33="Menor",0.4,IF(P33="Moderado",0.6,IF(P33="Mayor",0.8,IF(P33="Catastrófico",1,))))))</f>
        <v>0.6</v>
      </c>
      <c r="R33" s="491" t="str">
        <f>IF(OR(AND(L33="Muy Baja",P33="Leve"),AND(L33="Muy Baja",P33="Menor"),AND(L33="Baja",P33="Leve")),"Bajo",IF(OR(AND(L33="Muy baja",P33="Moderado"),AND(L33="Baja",P33="Menor"),AND(L33="Baja",P33="Moderado"),AND(L33="Media",P33="Leve"),AND(L33="Media",P33="Menor"),AND(L33="Media",P33="Moderado"),AND(L33="Alta",P33="Leve"),AND(L33="Alta",P33="Menor")),"Moderado",IF(OR(AND(L33="Muy Baja",P33="Mayor"),AND(L33="Baja",P33="Mayor"),AND(L33="Media",P33="Mayor"),AND(L33="Alta",P33="Moderado"),AND(L33="Alta",P33="Mayor"),AND(L33="Muy Alta",P33="Leve"),AND(L33="Muy Alta",P33="Menor"),AND(L33="Muy Alta",P33="Moderado"),AND(L33="Muy Alta",P33="Mayor")),"Alto",IF(OR(AND(L33="Muy Baja",P33="Catastrófico"),AND(L33="Baja",P33="Catastrófico"),AND(L33="Media",P33="Catastrófico"),AND(L33="Alta",P33="Catastrófico"),AND(L33="Muy Alta",P33="Catastrófico")),"Extremo",""))))</f>
        <v>Moderado</v>
      </c>
      <c r="S33" s="235">
        <v>1</v>
      </c>
      <c r="T33" s="322" t="s">
        <v>700</v>
      </c>
      <c r="U33" s="305" t="s">
        <v>293</v>
      </c>
      <c r="V33" s="307" t="str">
        <f t="shared" si="26"/>
        <v>Probabilidad</v>
      </c>
      <c r="W33" s="259" t="s">
        <v>13</v>
      </c>
      <c r="X33" s="259" t="s">
        <v>8</v>
      </c>
      <c r="Y33" s="260" t="str">
        <f t="shared" si="27"/>
        <v>40%</v>
      </c>
      <c r="Z33" s="259" t="s">
        <v>18</v>
      </c>
      <c r="AA33" s="259" t="s">
        <v>21</v>
      </c>
      <c r="AB33" s="259" t="s">
        <v>103</v>
      </c>
      <c r="AC33" s="261">
        <f t="shared" ref="AC33" si="57">IFERROR(IF(V33="Probabilidad",(M33-(+M33*Y33)),IF(V33="Impacto",M33,"")),"")</f>
        <v>0.24</v>
      </c>
      <c r="AD33" s="262" t="str">
        <f>IFERROR(IF(AC33="","",IF(AC33&lt;=0.2,"Muy Baja",IF(AC33&lt;=0.4,"Baja",IF(AC33&lt;=0.6,"Media",IF(AC33&lt;=0.8,"Alta","Muy Alta"))))),"")</f>
        <v>Baja</v>
      </c>
      <c r="AE33" s="260">
        <f t="shared" si="29"/>
        <v>0.24</v>
      </c>
      <c r="AF33" s="262" t="str">
        <f t="shared" si="11"/>
        <v>Moderado</v>
      </c>
      <c r="AG33" s="260">
        <f>IFERROR(IF(V33="Impacto",(Q33-(+Q33*Y33)),IF(V33="Probabilidad",Q33,"")),"")</f>
        <v>0.6</v>
      </c>
      <c r="AH33" s="264" t="str">
        <f>IFERROR(IF(OR(AND(AD33="Muy Baja",AF33="Leve"),AND(AD33="Muy Baja",AF33="Menor"),AND(AD33="Baja",AF33="Leve")),"Bajo",IF(OR(AND(AD33="Muy baja",AF33="Moderado"),AND(AD33="Baja",AF33="Menor"),AND(AD33="Baja",AF33="Moderado"),AND(AD33="Media",AF33="Leve"),AND(AD33="Media",AF33="Menor"),AND(AD33="Media",AF33="Moderado"),AND(AD33="Alta",AF33="Leve"),AND(AD33="Alta",AF33="Menor")),"Moderado",IF(OR(AND(AD33="Muy Baja",AF33="Mayor"),AND(AD33="Baja",AF33="Mayor"),AND(AD33="Media",AF33="Mayor"),AND(AD33="Alta",AF33="Moderado"),AND(AD33="Alta",AF33="Mayor"),AND(AD33="Muy Alta",AF33="Leve"),AND(AD33="Muy Alta",AF33="Menor"),AND(AD33="Muy Alta",AF33="Moderado"),AND(AD33="Muy Alta",AF33="Mayor")),"Alto",IF(OR(AND(AD33="Muy Baja",AF33="Catastrófico"),AND(AD33="Baja",AF33="Catastrófico"),AND(AD33="Media",AF33="Catastrófico"),AND(AD33="Alta",AF33="Catastrófico"),AND(AD33="Muy Alta",AF33="Catastrófico")),"Extremo","")))),"")</f>
        <v>Moderado</v>
      </c>
      <c r="AI33" s="259" t="s">
        <v>26</v>
      </c>
      <c r="AJ33" s="236">
        <v>0</v>
      </c>
      <c r="AK33" s="236">
        <v>0</v>
      </c>
      <c r="AL33" s="236">
        <v>0</v>
      </c>
      <c r="AM33" s="236">
        <v>0</v>
      </c>
      <c r="AN33" s="232"/>
      <c r="AO33" s="237"/>
      <c r="AP33" s="237"/>
      <c r="AQ33" s="231"/>
      <c r="AR33" s="239"/>
      <c r="AS33" s="240"/>
      <c r="AT33" s="182"/>
      <c r="AU33" s="251"/>
      <c r="AV33" s="251"/>
      <c r="AW33" s="251"/>
      <c r="AX33" s="251"/>
      <c r="AY33" s="251"/>
      <c r="AZ33" s="251"/>
      <c r="BA33" s="251"/>
      <c r="BB33" s="251"/>
      <c r="BC33" s="251"/>
      <c r="BD33" s="251"/>
      <c r="BE33" s="251"/>
      <c r="BF33" s="251"/>
      <c r="BG33" s="251"/>
      <c r="BH33" s="251"/>
      <c r="BI33" s="251"/>
      <c r="BJ33" s="251"/>
      <c r="BK33" s="251"/>
      <c r="BL33" s="251"/>
      <c r="BM33" s="251"/>
      <c r="BN33" s="251"/>
      <c r="BO33" s="251"/>
      <c r="BP33" s="251"/>
      <c r="BQ33" s="251"/>
      <c r="BR33" s="251"/>
      <c r="BS33" s="251"/>
      <c r="BT33" s="251"/>
      <c r="BU33" s="251"/>
      <c r="BV33" s="251"/>
      <c r="BW33" s="251"/>
      <c r="BX33" s="251"/>
      <c r="BY33" s="251"/>
      <c r="BZ33" s="251"/>
    </row>
    <row r="34" spans="1:78" s="251" customFormat="1" ht="106.5" customHeight="1" x14ac:dyDescent="0.2">
      <c r="A34" s="463"/>
      <c r="B34" s="464"/>
      <c r="C34" s="465"/>
      <c r="D34" s="466"/>
      <c r="E34" s="466"/>
      <c r="F34" s="467"/>
      <c r="G34" s="467"/>
      <c r="H34" s="467"/>
      <c r="I34" s="492"/>
      <c r="J34" s="492"/>
      <c r="K34" s="493"/>
      <c r="L34" s="490"/>
      <c r="M34" s="488"/>
      <c r="N34" s="489"/>
      <c r="O34" s="248">
        <f>IF(NOT(ISERROR(MATCH(N34,_xlfn.ANCHORARRAY(#REF!),0))),#REF!&amp;"Por favor no seleccionar los criterios de impacto",N34)</f>
        <v>0</v>
      </c>
      <c r="P34" s="490"/>
      <c r="Q34" s="488"/>
      <c r="R34" s="491"/>
      <c r="S34" s="235">
        <v>2</v>
      </c>
      <c r="T34" s="322" t="s">
        <v>1084</v>
      </c>
      <c r="U34" s="305" t="s">
        <v>293</v>
      </c>
      <c r="V34" s="307" t="str">
        <f t="shared" si="26"/>
        <v>Probabilidad</v>
      </c>
      <c r="W34" s="259" t="s">
        <v>13</v>
      </c>
      <c r="X34" s="259" t="s">
        <v>8</v>
      </c>
      <c r="Y34" s="260" t="str">
        <f t="shared" si="27"/>
        <v>40%</v>
      </c>
      <c r="Z34" s="259" t="s">
        <v>19</v>
      </c>
      <c r="AA34" s="259" t="s">
        <v>21</v>
      </c>
      <c r="AB34" s="259" t="s">
        <v>103</v>
      </c>
      <c r="AC34" s="261">
        <f t="shared" ref="AC34" si="58">IFERROR(IF(AND(V33="Probabilidad",V34="Probabilidad"),(AE33-(+AE33*Y34)),IF(V34="Probabilidad",(M33-(+M33*Y34)),IF(V34="Impacto",AE33,""))),"")</f>
        <v>0.14399999999999999</v>
      </c>
      <c r="AD34" s="262" t="str">
        <f t="shared" ref="AD34:AD37" si="59">IFERROR(IF(AC34="","",IF(AC34&lt;=0.2,"Muy Baja",IF(AC34&lt;=0.4,"Baja",IF(AC34&lt;=0.6,"Media",IF(AC34&lt;=0.8,"Alta","Muy Alta"))))),"")</f>
        <v>Muy Baja</v>
      </c>
      <c r="AE34" s="260">
        <f t="shared" si="29"/>
        <v>0.14399999999999999</v>
      </c>
      <c r="AF34" s="262" t="str">
        <f t="shared" si="11"/>
        <v>Moderado</v>
      </c>
      <c r="AG34" s="260">
        <f>IFERROR(IF(AND(V33="Impacto",V34="Impacto"),(AG33-(+AG33*Y34)),IF(V34="Impacto",($Q$33-(+$Q$33*Y34)),IF(V34="Probabilidad",AG33,""))),"")</f>
        <v>0.6</v>
      </c>
      <c r="AH34" s="264" t="str">
        <f t="shared" ref="AH34:AH35" si="60">IFERROR(IF(OR(AND(AD34="Muy Baja",AF34="Leve"),AND(AD34="Muy Baja",AF34="Menor"),AND(AD34="Baja",AF34="Leve")),"Bajo",IF(OR(AND(AD34="Muy baja",AF34="Moderado"),AND(AD34="Baja",AF34="Menor"),AND(AD34="Baja",AF34="Moderado"),AND(AD34="Media",AF34="Leve"),AND(AD34="Media",AF34="Menor"),AND(AD34="Media",AF34="Moderado"),AND(AD34="Alta",AF34="Leve"),AND(AD34="Alta",AF34="Menor")),"Moderado",IF(OR(AND(AD34="Muy Baja",AF34="Mayor"),AND(AD34="Baja",AF34="Mayor"),AND(AD34="Media",AF34="Mayor"),AND(AD34="Alta",AF34="Moderado"),AND(AD34="Alta",AF34="Mayor"),AND(AD34="Muy Alta",AF34="Leve"),AND(AD34="Muy Alta",AF34="Menor"),AND(AD34="Muy Alta",AF34="Moderado"),AND(AD34="Muy Alta",AF34="Mayor")),"Alto",IF(OR(AND(AD34="Muy Baja",AF34="Catastrófico"),AND(AD34="Baja",AF34="Catastrófico"),AND(AD34="Media",AF34="Catastrófico"),AND(AD34="Alta",AF34="Catastrófico"),AND(AD34="Muy Alta",AF34="Catastrófico")),"Extremo","")))),"")</f>
        <v>Moderado</v>
      </c>
      <c r="AI34" s="259" t="s">
        <v>26</v>
      </c>
      <c r="AJ34" s="236">
        <v>1</v>
      </c>
      <c r="AK34" s="236">
        <v>0</v>
      </c>
      <c r="AL34" s="236">
        <v>0</v>
      </c>
      <c r="AM34" s="236">
        <v>1</v>
      </c>
      <c r="AN34" s="247"/>
      <c r="AO34" s="246"/>
      <c r="AP34" s="246"/>
      <c r="AQ34" s="245"/>
      <c r="AR34" s="238"/>
      <c r="AS34" s="246"/>
      <c r="AT34" s="182"/>
    </row>
    <row r="35" spans="1:78" s="251" customFormat="1" ht="124.5" customHeight="1" x14ac:dyDescent="0.2">
      <c r="A35" s="463"/>
      <c r="B35" s="464"/>
      <c r="C35" s="465"/>
      <c r="D35" s="466"/>
      <c r="E35" s="466"/>
      <c r="F35" s="467"/>
      <c r="G35" s="467"/>
      <c r="H35" s="467"/>
      <c r="I35" s="492"/>
      <c r="J35" s="492"/>
      <c r="K35" s="493"/>
      <c r="L35" s="490"/>
      <c r="M35" s="488"/>
      <c r="N35" s="489"/>
      <c r="O35" s="248">
        <f>IF(NOT(ISERROR(MATCH(N35,_xlfn.ANCHORARRAY(#REF!),0))),#REF!&amp;"Por favor no seleccionar los criterios de impacto",N35)</f>
        <v>0</v>
      </c>
      <c r="P35" s="490"/>
      <c r="Q35" s="488"/>
      <c r="R35" s="491"/>
      <c r="S35" s="235">
        <v>3</v>
      </c>
      <c r="T35" s="322" t="s">
        <v>701</v>
      </c>
      <c r="U35" s="305" t="s">
        <v>293</v>
      </c>
      <c r="V35" s="307" t="str">
        <f t="shared" si="26"/>
        <v>Probabilidad</v>
      </c>
      <c r="W35" s="259" t="s">
        <v>13</v>
      </c>
      <c r="X35" s="259" t="s">
        <v>8</v>
      </c>
      <c r="Y35" s="260" t="str">
        <f t="shared" si="27"/>
        <v>40%</v>
      </c>
      <c r="Z35" s="259" t="s">
        <v>18</v>
      </c>
      <c r="AA35" s="259" t="s">
        <v>21</v>
      </c>
      <c r="AB35" s="259" t="s">
        <v>103</v>
      </c>
      <c r="AC35" s="261">
        <f t="shared" ref="AC35:AC37" si="61">IFERROR(IF(AND(V34="Probabilidad",V35="Probabilidad"),(AE34-(+AE34*Y35)),IF(AND(V34="Impacto",V35="Probabilidad"),(AE33-(+AE33*Y35)),IF(V35="Impacto",AE34,""))),"")</f>
        <v>8.6399999999999991E-2</v>
      </c>
      <c r="AD35" s="262" t="str">
        <f t="shared" si="59"/>
        <v>Muy Baja</v>
      </c>
      <c r="AE35" s="260">
        <f t="shared" ref="AE35:AE37" si="62">+AC35</f>
        <v>8.6399999999999991E-2</v>
      </c>
      <c r="AF35" s="262" t="str">
        <f t="shared" si="11"/>
        <v>Moderado</v>
      </c>
      <c r="AG35" s="260">
        <f>IFERROR(IF(AND(V34="Impacto",V35="Impacto"),(AG34-(+AG34*Y35)),IF(V35="Impacto",($Q$33-(+$Q$33*Y35)),IF(V35="Probabilidad",AG34,""))),"")</f>
        <v>0.6</v>
      </c>
      <c r="AH35" s="264" t="str">
        <f t="shared" si="60"/>
        <v>Moderado</v>
      </c>
      <c r="AI35" s="259" t="s">
        <v>26</v>
      </c>
      <c r="AJ35" s="236">
        <v>1</v>
      </c>
      <c r="AK35" s="236">
        <v>0</v>
      </c>
      <c r="AL35" s="236">
        <v>0</v>
      </c>
      <c r="AM35" s="236">
        <v>1</v>
      </c>
      <c r="AN35" s="247"/>
      <c r="AO35" s="246"/>
      <c r="AP35" s="246"/>
      <c r="AQ35" s="245"/>
      <c r="AR35" s="238"/>
      <c r="AS35" s="246"/>
      <c r="AT35" s="182"/>
    </row>
    <row r="36" spans="1:78" s="251" customFormat="1" ht="99.75" x14ac:dyDescent="0.2">
      <c r="A36" s="463"/>
      <c r="B36" s="464"/>
      <c r="C36" s="465"/>
      <c r="D36" s="466"/>
      <c r="E36" s="466"/>
      <c r="F36" s="467"/>
      <c r="G36" s="467"/>
      <c r="H36" s="467"/>
      <c r="I36" s="492"/>
      <c r="J36" s="492"/>
      <c r="K36" s="493"/>
      <c r="L36" s="490"/>
      <c r="M36" s="488"/>
      <c r="N36" s="489"/>
      <c r="O36" s="248">
        <f>IF(NOT(ISERROR(MATCH(N36,_xlfn.ANCHORARRAY(#REF!),0))),#REF!&amp;"Por favor no seleccionar los criterios de impacto",N36)</f>
        <v>0</v>
      </c>
      <c r="P36" s="490"/>
      <c r="Q36" s="488"/>
      <c r="R36" s="491"/>
      <c r="S36" s="235">
        <v>4</v>
      </c>
      <c r="T36" s="322" t="s">
        <v>863</v>
      </c>
      <c r="U36" s="305" t="s">
        <v>293</v>
      </c>
      <c r="V36" s="307" t="str">
        <f t="shared" ref="V36:V37" si="63">IF(OR(W36="Preventivo",W36="Detectivo"),"Probabilidad",IF(W36="Correctivo","Impacto",""))</f>
        <v>Probabilidad</v>
      </c>
      <c r="W36" s="259" t="s">
        <v>13</v>
      </c>
      <c r="X36" s="259" t="s">
        <v>8</v>
      </c>
      <c r="Y36" s="260" t="str">
        <f t="shared" ref="Y36:Y37" si="64">IF(AND(W36="Preventivo",X36="Automático"),"50%",IF(AND(W36="Preventivo",X36="Manual"),"40%",IF(AND(W36="Detectivo",X36="Automático"),"40%",IF(AND(W36="Detectivo",X36="Manual"),"30%",IF(AND(W36="Correctivo",X36="Automático"),"35%",IF(AND(W36="Correctivo",X36="Manual"),"25%",""))))))</f>
        <v>40%</v>
      </c>
      <c r="Z36" s="259" t="s">
        <v>19</v>
      </c>
      <c r="AA36" s="259" t="s">
        <v>21</v>
      </c>
      <c r="AB36" s="259" t="s">
        <v>103</v>
      </c>
      <c r="AC36" s="261">
        <f t="shared" si="61"/>
        <v>5.183999999999999E-2</v>
      </c>
      <c r="AD36" s="262" t="str">
        <f t="shared" si="59"/>
        <v>Muy Baja</v>
      </c>
      <c r="AE36" s="260">
        <f t="shared" si="62"/>
        <v>5.183999999999999E-2</v>
      </c>
      <c r="AF36" s="262" t="str">
        <f t="shared" si="11"/>
        <v>Moderado</v>
      </c>
      <c r="AG36" s="260">
        <f>IFERROR(IF(AND(V35="Impacto",V36="Impacto"),(AG35-(+AG35*Y36)),IF(V36="Impacto",($Q$33-(+$Q$33*Y36)),IF(V36="Probabilidad",AG35,""))),"")</f>
        <v>0.6</v>
      </c>
      <c r="AH36" s="264" t="str">
        <f>IFERROR(IF(OR(AND(AD36="Muy Baja",AF36="Leve"),AND(AD36="Muy Baja",AF36="Menor"),AND(AD36="Baja",AF36="Leve")),"Bajo",IF(OR(AND(AD36="Muy baja",AF36="Moderado"),AND(AD36="Baja",AF36="Menor"),AND(AD36="Baja",AF36="Moderado"),AND(AD36="Media",AF36="Leve"),AND(AD36="Media",AF36="Menor"),AND(AD36="Media",AF36="Moderado"),AND(AD36="Alta",AF36="Leve"),AND(AD36="Alta",AF36="Menor")),"Moderado",IF(OR(AND(AD36="Muy Baja",AF36="Mayor"),AND(AD36="Baja",AF36="Mayor"),AND(AD36="Media",AF36="Mayor"),AND(AD36="Alta",AF36="Moderado"),AND(AD36="Alta",AF36="Mayor"),AND(AD36="Muy Alta",AF36="Leve"),AND(AD36="Muy Alta",AF36="Menor"),AND(AD36="Muy Alta",AF36="Moderado"),AND(AD36="Muy Alta",AF36="Mayor")),"Alto",IF(OR(AND(AD36="Muy Baja",AF36="Catastrófico"),AND(AD36="Baja",AF36="Catastrófico"),AND(AD36="Media",AF36="Catastrófico"),AND(AD36="Alta",AF36="Catastrófico"),AND(AD36="Muy Alta",AF36="Catastrófico")),"Extremo","")))),"")</f>
        <v>Moderado</v>
      </c>
      <c r="AI36" s="259" t="s">
        <v>26</v>
      </c>
      <c r="AJ36" s="236">
        <v>1</v>
      </c>
      <c r="AK36" s="236">
        <v>1</v>
      </c>
      <c r="AL36" s="236">
        <v>0</v>
      </c>
      <c r="AM36" s="236">
        <v>0</v>
      </c>
      <c r="AN36" s="247"/>
      <c r="AO36" s="205"/>
      <c r="AP36" s="205"/>
      <c r="AQ36" s="184"/>
      <c r="AR36" s="238"/>
      <c r="AS36" s="205"/>
      <c r="AT36" s="182"/>
    </row>
    <row r="37" spans="1:78" s="251" customFormat="1" ht="85.5" x14ac:dyDescent="0.2">
      <c r="A37" s="463"/>
      <c r="B37" s="464"/>
      <c r="C37" s="465"/>
      <c r="D37" s="466"/>
      <c r="E37" s="466"/>
      <c r="F37" s="467"/>
      <c r="G37" s="467"/>
      <c r="H37" s="467"/>
      <c r="I37" s="492"/>
      <c r="J37" s="492"/>
      <c r="K37" s="493"/>
      <c r="L37" s="490"/>
      <c r="M37" s="488"/>
      <c r="N37" s="489"/>
      <c r="O37" s="248">
        <f>IF(NOT(ISERROR(MATCH(N37,_xlfn.ANCHORARRAY(#REF!),0))),#REF!&amp;"Por favor no seleccionar los criterios de impacto",N37)</f>
        <v>0</v>
      </c>
      <c r="P37" s="490"/>
      <c r="Q37" s="488"/>
      <c r="R37" s="491"/>
      <c r="S37" s="235">
        <v>5</v>
      </c>
      <c r="T37" s="322" t="s">
        <v>864</v>
      </c>
      <c r="U37" s="305" t="s">
        <v>293</v>
      </c>
      <c r="V37" s="307" t="str">
        <f t="shared" si="63"/>
        <v>Probabilidad</v>
      </c>
      <c r="W37" s="259" t="s">
        <v>13</v>
      </c>
      <c r="X37" s="259" t="s">
        <v>8</v>
      </c>
      <c r="Y37" s="260" t="str">
        <f t="shared" si="64"/>
        <v>40%</v>
      </c>
      <c r="Z37" s="259" t="s">
        <v>18</v>
      </c>
      <c r="AA37" s="259" t="s">
        <v>21</v>
      </c>
      <c r="AB37" s="259" t="s">
        <v>103</v>
      </c>
      <c r="AC37" s="261">
        <f t="shared" si="61"/>
        <v>3.1103999999999993E-2</v>
      </c>
      <c r="AD37" s="262" t="str">
        <f t="shared" si="59"/>
        <v>Muy Baja</v>
      </c>
      <c r="AE37" s="260">
        <f t="shared" si="62"/>
        <v>3.1103999999999993E-2</v>
      </c>
      <c r="AF37" s="262" t="str">
        <f t="shared" si="11"/>
        <v>Moderado</v>
      </c>
      <c r="AG37" s="260">
        <f>IFERROR(IF(AND(V36="Impacto",V37="Impacto"),(AG36-(+AG36*Y37)),IF(V37="Impacto",($Q$33-(+$Q$33*Y37)),IF(V37="Probabilidad",AG36,""))),"")</f>
        <v>0.6</v>
      </c>
      <c r="AH37" s="264" t="str">
        <f t="shared" ref="AH37" si="65">IFERROR(IF(OR(AND(AD37="Muy Baja",AF37="Leve"),AND(AD37="Muy Baja",AF37="Menor"),AND(AD37="Baja",AF37="Leve")),"Bajo",IF(OR(AND(AD37="Muy baja",AF37="Moderado"),AND(AD37="Baja",AF37="Menor"),AND(AD37="Baja",AF37="Moderado"),AND(AD37="Media",AF37="Leve"),AND(AD37="Media",AF37="Menor"),AND(AD37="Media",AF37="Moderado"),AND(AD37="Alta",AF37="Leve"),AND(AD37="Alta",AF37="Menor")),"Moderado",IF(OR(AND(AD37="Muy Baja",AF37="Mayor"),AND(AD37="Baja",AF37="Mayor"),AND(AD37="Media",AF37="Mayor"),AND(AD37="Alta",AF37="Moderado"),AND(AD37="Alta",AF37="Mayor"),AND(AD37="Muy Alta",AF37="Leve"),AND(AD37="Muy Alta",AF37="Menor"),AND(AD37="Muy Alta",AF37="Moderado"),AND(AD37="Muy Alta",AF37="Mayor")),"Alto",IF(OR(AND(AD37="Muy Baja",AF37="Catastrófico"),AND(AD37="Baja",AF37="Catastrófico"),AND(AD37="Media",AF37="Catastrófico"),AND(AD37="Alta",AF37="Catastrófico"),AND(AD37="Muy Alta",AF37="Catastrófico")),"Extremo","")))),"")</f>
        <v>Moderado</v>
      </c>
      <c r="AI37" s="259" t="s">
        <v>26</v>
      </c>
      <c r="AJ37" s="236">
        <v>2</v>
      </c>
      <c r="AK37" s="236">
        <v>0</v>
      </c>
      <c r="AL37" s="236">
        <v>1</v>
      </c>
      <c r="AM37" s="236">
        <v>1</v>
      </c>
      <c r="AN37" s="247"/>
      <c r="AO37" s="245"/>
      <c r="AP37" s="245"/>
      <c r="AQ37" s="247"/>
      <c r="AR37" s="206"/>
      <c r="AS37" s="206"/>
      <c r="AT37" s="182"/>
    </row>
    <row r="38" spans="1:78" s="252" customFormat="1" ht="141.75" customHeight="1" x14ac:dyDescent="0.2">
      <c r="A38" s="463" t="s">
        <v>705</v>
      </c>
      <c r="B38" s="464" t="s">
        <v>753</v>
      </c>
      <c r="C38" s="465" t="s">
        <v>602</v>
      </c>
      <c r="D38" s="466" t="s">
        <v>621</v>
      </c>
      <c r="E38" s="466" t="s">
        <v>107</v>
      </c>
      <c r="F38" s="467" t="s">
        <v>742</v>
      </c>
      <c r="G38" s="467" t="s">
        <v>673</v>
      </c>
      <c r="H38" s="467" t="s">
        <v>1063</v>
      </c>
      <c r="I38" s="492" t="s">
        <v>654</v>
      </c>
      <c r="J38" s="492" t="s">
        <v>819</v>
      </c>
      <c r="K38" s="493">
        <v>10</v>
      </c>
      <c r="L38" s="490" t="str">
        <f t="shared" ref="L38" si="66">IF(K38&lt;=0,"",IF(K38&lt;=2,"Muy Baja",IF(K38&lt;=24,"Baja",IF(K38&lt;=500,"Media",IF(K38&lt;=5000,"Alta","Muy Alta")))))</f>
        <v>Baja</v>
      </c>
      <c r="M38" s="488">
        <f>IF(L38="","",IF(L38="Muy Baja",0.2,IF(L38="Baja",0.4,IF(L38="Media",0.6,IF(L38="Alta",0.8,IF(L38="Muy Alta",1,))))))</f>
        <v>0.4</v>
      </c>
      <c r="N38" s="489" t="s">
        <v>122</v>
      </c>
      <c r="O38" s="248" t="str">
        <f>IF(NOT(ISERROR(MATCH(N38,'Tabla Impacto'!$B$221:$B$223,0))),'Tabla Impacto'!$F$223&amp;"Por favor no seleccionar los criterios de impacto(Afectación Económica o presupuestal y Pérdida Reputacional)",N38)</f>
        <v xml:space="preserve">     El riesgo afecta la imagen de de la entidad con efecto publicitario sostenido a nivel de sector administrativo, nivel departamental o municipal</v>
      </c>
      <c r="P38" s="490" t="str">
        <f>IF(OR(O38='Tabla Impacto'!$C$11,O38='Tabla Impacto'!$D$11),"Leve",IF(OR(O38='Tabla Impacto'!$C$12,O38='Tabla Impacto'!$D$12),"Menor",IF(OR(O38='Tabla Impacto'!$C$13,O38='Tabla Impacto'!$D$13),"Moderado",IF(OR(O38='Tabla Impacto'!$C$14,O38='Tabla Impacto'!$D$14),"Mayor",IF(OR(O38='Tabla Impacto'!$C$15,O38='Tabla Impacto'!$D$15),"Catastrófico","")))))</f>
        <v>Mayor</v>
      </c>
      <c r="Q38" s="488">
        <f>IF(P38="","",IF(P38="Leve",0.2,IF(P38="Menor",0.4,IF(P38="Moderado",0.6,IF(P38="Mayor",0.8,IF(P38="Catastrófico",1,))))))</f>
        <v>0.8</v>
      </c>
      <c r="R38" s="491" t="str">
        <f>IF(OR(AND(L38="Muy Baja",P38="Leve"),AND(L38="Muy Baja",P38="Menor"),AND(L38="Baja",P38="Leve")),"Bajo",IF(OR(AND(L38="Muy baja",P38="Moderado"),AND(L38="Baja",P38="Menor"),AND(L38="Baja",P38="Moderado"),AND(L38="Media",P38="Leve"),AND(L38="Media",P38="Menor"),AND(L38="Media",P38="Moderado"),AND(L38="Alta",P38="Leve"),AND(L38="Alta",P38="Menor")),"Moderado",IF(OR(AND(L38="Muy Baja",P38="Mayor"),AND(L38="Baja",P38="Mayor"),AND(L38="Media",P38="Mayor"),AND(L38="Alta",P38="Moderado"),AND(L38="Alta",P38="Mayor"),AND(L38="Muy Alta",P38="Leve"),AND(L38="Muy Alta",P38="Menor"),AND(L38="Muy Alta",P38="Moderado"),AND(L38="Muy Alta",P38="Mayor")),"Alto",IF(OR(AND(L38="Muy Baja",P38="Catastrófico"),AND(L38="Baja",P38="Catastrófico"),AND(L38="Media",P38="Catastrófico"),AND(L38="Alta",P38="Catastrófico"),AND(L38="Muy Alta",P38="Catastrófico")),"Extremo",""))))</f>
        <v>Alto</v>
      </c>
      <c r="S38" s="235">
        <v>1</v>
      </c>
      <c r="T38" s="322" t="s">
        <v>706</v>
      </c>
      <c r="U38" s="305" t="s">
        <v>293</v>
      </c>
      <c r="V38" s="307" t="str">
        <f t="shared" ref="V38:V47" si="67">IF(OR(W38="Preventivo",W38="Detectivo"),"Probabilidad",IF(W38="Correctivo","Impacto",""))</f>
        <v>Probabilidad</v>
      </c>
      <c r="W38" s="259" t="s">
        <v>13</v>
      </c>
      <c r="X38" s="259" t="s">
        <v>8</v>
      </c>
      <c r="Y38" s="260" t="str">
        <f t="shared" ref="Y38:Y47" si="68">IF(AND(W38="Preventivo",X38="Automático"),"50%",IF(AND(W38="Preventivo",X38="Manual"),"40%",IF(AND(W38="Detectivo",X38="Automático"),"40%",IF(AND(W38="Detectivo",X38="Manual"),"30%",IF(AND(W38="Correctivo",X38="Automático"),"35%",IF(AND(W38="Correctivo",X38="Manual"),"25%",""))))))</f>
        <v>40%</v>
      </c>
      <c r="Z38" s="259" t="s">
        <v>18</v>
      </c>
      <c r="AA38" s="259" t="s">
        <v>21</v>
      </c>
      <c r="AB38" s="259" t="s">
        <v>103</v>
      </c>
      <c r="AC38" s="261">
        <f t="shared" ref="AC38" si="69">IFERROR(IF(V38="Probabilidad",(M38-(+M38*Y38)),IF(V38="Impacto",M38,"")),"")</f>
        <v>0.24</v>
      </c>
      <c r="AD38" s="262" t="str">
        <f>IFERROR(IF(AC38="","",IF(AC38&lt;=0.2,"Muy Baja",IF(AC38&lt;=0.4,"Baja",IF(AC38&lt;=0.6,"Media",IF(AC38&lt;=0.8,"Alta","Muy Alta"))))),"")</f>
        <v>Baja</v>
      </c>
      <c r="AE38" s="260">
        <f>+AC38</f>
        <v>0.24</v>
      </c>
      <c r="AF38" s="262" t="str">
        <f t="shared" si="11"/>
        <v>Mayor</v>
      </c>
      <c r="AG38" s="260">
        <f>IFERROR(IF(V38="Impacto",(Q38-(+Q38*Y38)),IF(V38="Probabilidad",Q38,"")),"")</f>
        <v>0.8</v>
      </c>
      <c r="AH38" s="264" t="str">
        <f>IFERROR(IF(OR(AND(AD38="Muy Baja",AF38="Leve"),AND(AD38="Muy Baja",AF38="Menor"),AND(AD38="Baja",AF38="Leve")),"Bajo",IF(OR(AND(AD38="Muy baja",AF38="Moderado"),AND(AD38="Baja",AF38="Menor"),AND(AD38="Baja",AF38="Moderado"),AND(AD38="Media",AF38="Leve"),AND(AD38="Media",AF38="Menor"),AND(AD38="Media",AF38="Moderado"),AND(AD38="Alta",AF38="Leve"),AND(AD38="Alta",AF38="Menor")),"Moderado",IF(OR(AND(AD38="Muy Baja",AF38="Mayor"),AND(AD38="Baja",AF38="Mayor"),AND(AD38="Media",AF38="Mayor"),AND(AD38="Alta",AF38="Moderado"),AND(AD38="Alta",AF38="Mayor"),AND(AD38="Muy Alta",AF38="Leve"),AND(AD38="Muy Alta",AF38="Menor"),AND(AD38="Muy Alta",AF38="Moderado"),AND(AD38="Muy Alta",AF38="Mayor")),"Alto",IF(OR(AND(AD38="Muy Baja",AF38="Catastrófico"),AND(AD38="Baja",AF38="Catastrófico"),AND(AD38="Media",AF38="Catastrófico"),AND(AD38="Alta",AF38="Catastrófico"),AND(AD38="Muy Alta",AF38="Catastrófico")),"Extremo","")))),"")</f>
        <v>Alto</v>
      </c>
      <c r="AI38" s="259" t="s">
        <v>26</v>
      </c>
      <c r="AJ38" s="236">
        <v>0</v>
      </c>
      <c r="AK38" s="236">
        <v>0</v>
      </c>
      <c r="AL38" s="236">
        <v>0</v>
      </c>
      <c r="AM38" s="236">
        <v>0</v>
      </c>
      <c r="AN38" s="232"/>
      <c r="AO38" s="237"/>
      <c r="AP38" s="237"/>
      <c r="AQ38" s="231"/>
      <c r="AR38" s="239"/>
      <c r="AS38" s="240"/>
      <c r="AT38" s="182"/>
      <c r="AU38" s="251"/>
      <c r="AV38" s="251"/>
      <c r="AW38" s="251"/>
      <c r="AX38" s="251"/>
      <c r="AY38" s="251"/>
      <c r="AZ38" s="251"/>
      <c r="BA38" s="251"/>
      <c r="BB38" s="251"/>
      <c r="BC38" s="251"/>
      <c r="BD38" s="251"/>
      <c r="BE38" s="251"/>
      <c r="BF38" s="251"/>
      <c r="BG38" s="251"/>
      <c r="BH38" s="251"/>
      <c r="BI38" s="251"/>
      <c r="BJ38" s="251"/>
      <c r="BK38" s="251"/>
      <c r="BL38" s="251"/>
      <c r="BM38" s="251"/>
      <c r="BN38" s="251"/>
      <c r="BO38" s="251"/>
      <c r="BP38" s="251"/>
      <c r="BQ38" s="251"/>
      <c r="BR38" s="251"/>
      <c r="BS38" s="251"/>
      <c r="BT38" s="251"/>
      <c r="BU38" s="251"/>
      <c r="BV38" s="251"/>
      <c r="BW38" s="251"/>
      <c r="BX38" s="251"/>
      <c r="BY38" s="251"/>
      <c r="BZ38" s="251"/>
    </row>
    <row r="39" spans="1:78" s="251" customFormat="1" ht="108.75" customHeight="1" x14ac:dyDescent="0.2">
      <c r="A39" s="463"/>
      <c r="B39" s="464"/>
      <c r="C39" s="465"/>
      <c r="D39" s="466"/>
      <c r="E39" s="466"/>
      <c r="F39" s="467"/>
      <c r="G39" s="467"/>
      <c r="H39" s="467"/>
      <c r="I39" s="492"/>
      <c r="J39" s="492"/>
      <c r="K39" s="493"/>
      <c r="L39" s="490"/>
      <c r="M39" s="488"/>
      <c r="N39" s="489"/>
      <c r="O39" s="248">
        <f>IF(NOT(ISERROR(MATCH(N39,_xlfn.ANCHORARRAY(#REF!),0))),#REF!&amp;"Por favor no seleccionar los criterios de impacto",N39)</f>
        <v>0</v>
      </c>
      <c r="P39" s="490"/>
      <c r="Q39" s="488"/>
      <c r="R39" s="491"/>
      <c r="S39" s="235">
        <v>2</v>
      </c>
      <c r="T39" s="322" t="s">
        <v>743</v>
      </c>
      <c r="U39" s="305" t="s">
        <v>293</v>
      </c>
      <c r="V39" s="307" t="str">
        <f t="shared" si="67"/>
        <v>Probabilidad</v>
      </c>
      <c r="W39" s="259" t="s">
        <v>13</v>
      </c>
      <c r="X39" s="259" t="s">
        <v>8</v>
      </c>
      <c r="Y39" s="260" t="str">
        <f t="shared" si="68"/>
        <v>40%</v>
      </c>
      <c r="Z39" s="259" t="s">
        <v>18</v>
      </c>
      <c r="AA39" s="259" t="s">
        <v>21</v>
      </c>
      <c r="AB39" s="259" t="s">
        <v>103</v>
      </c>
      <c r="AC39" s="261">
        <f t="shared" ref="AC39" si="70">IFERROR(IF(AND(V38="Probabilidad",V39="Probabilidad"),(AE38-(+AE38*Y39)),IF(V39="Probabilidad",(M38-(+M38*Y39)),IF(V39="Impacto",AE38,""))),"")</f>
        <v>0.14399999999999999</v>
      </c>
      <c r="AD39" s="262" t="str">
        <f t="shared" ref="AD39:AD40" si="71">IFERROR(IF(AC39="","",IF(AC39&lt;=0.2,"Muy Baja",IF(AC39&lt;=0.4,"Baja",IF(AC39&lt;=0.6,"Media",IF(AC39&lt;=0.8,"Alta","Muy Alta"))))),"")</f>
        <v>Muy Baja</v>
      </c>
      <c r="AE39" s="260">
        <f>+AC39</f>
        <v>0.14399999999999999</v>
      </c>
      <c r="AF39" s="262" t="str">
        <f t="shared" si="11"/>
        <v>Mayor</v>
      </c>
      <c r="AG39" s="260">
        <f>IFERROR(IF(AND(V38="Impacto",V39="Impacto"),(AG38-(+AG38*Y39)),IF(V39="Impacto",($Q$38-(+$Q$38*Y39)),IF(V39="Probabilidad",AG38,""))),"")</f>
        <v>0.8</v>
      </c>
      <c r="AH39" s="264" t="str">
        <f t="shared" ref="AH39:AH40" si="72">IFERROR(IF(OR(AND(AD39="Muy Baja",AF39="Leve"),AND(AD39="Muy Baja",AF39="Menor"),AND(AD39="Baja",AF39="Leve")),"Bajo",IF(OR(AND(AD39="Muy baja",AF39="Moderado"),AND(AD39="Baja",AF39="Menor"),AND(AD39="Baja",AF39="Moderado"),AND(AD39="Media",AF39="Leve"),AND(AD39="Media",AF39="Menor"),AND(AD39="Media",AF39="Moderado"),AND(AD39="Alta",AF39="Leve"),AND(AD39="Alta",AF39="Menor")),"Moderado",IF(OR(AND(AD39="Muy Baja",AF39="Mayor"),AND(AD39="Baja",AF39="Mayor"),AND(AD39="Media",AF39="Mayor"),AND(AD39="Alta",AF39="Moderado"),AND(AD39="Alta",AF39="Mayor"),AND(AD39="Muy Alta",AF39="Leve"),AND(AD39="Muy Alta",AF39="Menor"),AND(AD39="Muy Alta",AF39="Moderado"),AND(AD39="Muy Alta",AF39="Mayor")),"Alto",IF(OR(AND(AD39="Muy Baja",AF39="Catastrófico"),AND(AD39="Baja",AF39="Catastrófico"),AND(AD39="Media",AF39="Catastrófico"),AND(AD39="Alta",AF39="Catastrófico"),AND(AD39="Muy Alta",AF39="Catastrófico")),"Extremo","")))),"")</f>
        <v>Alto</v>
      </c>
      <c r="AI39" s="259" t="s">
        <v>26</v>
      </c>
      <c r="AJ39" s="236">
        <v>0</v>
      </c>
      <c r="AK39" s="236">
        <v>0</v>
      </c>
      <c r="AL39" s="236">
        <v>0</v>
      </c>
      <c r="AM39" s="236">
        <v>0</v>
      </c>
      <c r="AN39" s="247"/>
      <c r="AO39" s="246"/>
      <c r="AP39" s="246"/>
      <c r="AQ39" s="245"/>
      <c r="AR39" s="238"/>
      <c r="AS39" s="246"/>
      <c r="AT39" s="182"/>
    </row>
    <row r="40" spans="1:78" s="251" customFormat="1" ht="94.5" customHeight="1" x14ac:dyDescent="0.2">
      <c r="A40" s="463"/>
      <c r="B40" s="464"/>
      <c r="C40" s="465"/>
      <c r="D40" s="466"/>
      <c r="E40" s="466"/>
      <c r="F40" s="467"/>
      <c r="G40" s="467"/>
      <c r="H40" s="467"/>
      <c r="I40" s="492"/>
      <c r="J40" s="492"/>
      <c r="K40" s="493"/>
      <c r="L40" s="490"/>
      <c r="M40" s="488"/>
      <c r="N40" s="489"/>
      <c r="O40" s="248">
        <f>IF(NOT(ISERROR(MATCH(N40,_xlfn.ANCHORARRAY(#REF!),0))),#REF!&amp;"Por favor no seleccionar los criterios de impacto",N40)</f>
        <v>0</v>
      </c>
      <c r="P40" s="490"/>
      <c r="Q40" s="488"/>
      <c r="R40" s="491"/>
      <c r="S40" s="235">
        <v>3</v>
      </c>
      <c r="T40" s="322" t="s">
        <v>755</v>
      </c>
      <c r="U40" s="305" t="s">
        <v>293</v>
      </c>
      <c r="V40" s="307" t="str">
        <f t="shared" si="67"/>
        <v>Probabilidad</v>
      </c>
      <c r="W40" s="259" t="s">
        <v>13</v>
      </c>
      <c r="X40" s="259" t="s">
        <v>8</v>
      </c>
      <c r="Y40" s="260" t="str">
        <f t="shared" si="68"/>
        <v>40%</v>
      </c>
      <c r="Z40" s="259" t="s">
        <v>18</v>
      </c>
      <c r="AA40" s="259" t="s">
        <v>21</v>
      </c>
      <c r="AB40" s="259" t="s">
        <v>103</v>
      </c>
      <c r="AC40" s="261">
        <f t="shared" ref="AC40" si="73">IFERROR(IF(AND(V39="Probabilidad",V40="Probabilidad"),(AE39-(+AE39*Y40)),IF(AND(V39="Impacto",V40="Probabilidad"),(AE38-(+AE38*Y40)),IF(V40="Impacto",AE39,""))),"")</f>
        <v>8.6399999999999991E-2</v>
      </c>
      <c r="AD40" s="262" t="str">
        <f t="shared" si="71"/>
        <v>Muy Baja</v>
      </c>
      <c r="AE40" s="260">
        <f t="shared" ref="AE40" si="74">+AC40</f>
        <v>8.6399999999999991E-2</v>
      </c>
      <c r="AF40" s="262" t="str">
        <f t="shared" si="11"/>
        <v>Mayor</v>
      </c>
      <c r="AG40" s="260">
        <f>IFERROR(IF(AND(V39="Impacto",V40="Impacto"),(AG39-(+AG39*Y40)),IF(V40="Impacto",($Q$38-(+$Q$38*Y40)),IF(V40="Probabilidad",AG39,""))),"")</f>
        <v>0.8</v>
      </c>
      <c r="AH40" s="264" t="str">
        <f t="shared" si="72"/>
        <v>Alto</v>
      </c>
      <c r="AI40" s="259" t="s">
        <v>26</v>
      </c>
      <c r="AJ40" s="236">
        <v>0</v>
      </c>
      <c r="AK40" s="236">
        <v>0</v>
      </c>
      <c r="AL40" s="236">
        <v>0</v>
      </c>
      <c r="AM40" s="236">
        <v>0</v>
      </c>
      <c r="AN40" s="247"/>
      <c r="AO40" s="246"/>
      <c r="AP40" s="246"/>
      <c r="AQ40" s="245"/>
      <c r="AR40" s="238"/>
      <c r="AS40" s="246"/>
      <c r="AT40" s="182"/>
    </row>
    <row r="41" spans="1:78" s="252" customFormat="1" ht="111" customHeight="1" x14ac:dyDescent="0.2">
      <c r="A41" s="463" t="s">
        <v>707</v>
      </c>
      <c r="B41" s="464" t="s">
        <v>753</v>
      </c>
      <c r="C41" s="465" t="s">
        <v>602</v>
      </c>
      <c r="D41" s="466" t="s">
        <v>621</v>
      </c>
      <c r="E41" s="466" t="s">
        <v>109</v>
      </c>
      <c r="F41" s="467" t="s">
        <v>800</v>
      </c>
      <c r="G41" s="467" t="s">
        <v>876</v>
      </c>
      <c r="H41" s="467" t="s">
        <v>796</v>
      </c>
      <c r="I41" s="492" t="s">
        <v>654</v>
      </c>
      <c r="J41" s="492" t="s">
        <v>820</v>
      </c>
      <c r="K41" s="493">
        <v>10</v>
      </c>
      <c r="L41" s="490" t="str">
        <f t="shared" ref="L41" si="75">IF(K41&lt;=0,"",IF(K41&lt;=2,"Muy Baja",IF(K41&lt;=24,"Baja",IF(K41&lt;=500,"Media",IF(K41&lt;=5000,"Alta","Muy Alta")))))</f>
        <v>Baja</v>
      </c>
      <c r="M41" s="488">
        <f>IF(L41="","",IF(L41="Muy Baja",0.2,IF(L41="Baja",0.4,IF(L41="Media",0.6,IF(L41="Alta",0.8,IF(L41="Muy Alta",1,))))))</f>
        <v>0.4</v>
      </c>
      <c r="N41" s="489" t="s">
        <v>117</v>
      </c>
      <c r="O41" s="248" t="str">
        <f>IF(NOT(ISERROR(MATCH(N41,'Tabla Impacto'!$B$221:$B$223,0))),'Tabla Impacto'!$F$223&amp;"Por favor no seleccionar los criterios de impacto(Afectación Económica o presupuestal y Pérdida Reputacional)",N41)</f>
        <v xml:space="preserve">     Entre 100 y 500 SMLMV </v>
      </c>
      <c r="P41" s="490" t="str">
        <f>IF(OR(O41='Tabla Impacto'!$C$11,O41='Tabla Impacto'!$D$11),"Leve",IF(OR(O41='Tabla Impacto'!$C$12,O41='Tabla Impacto'!$D$12),"Menor",IF(OR(O41='Tabla Impacto'!$C$13,O41='Tabla Impacto'!$D$13),"Moderado",IF(OR(O41='Tabla Impacto'!$C$14,O41='Tabla Impacto'!$D$14),"Mayor",IF(OR(O41='Tabla Impacto'!$C$15,O41='Tabla Impacto'!$D$15),"Catastrófico","")))))</f>
        <v>Mayor</v>
      </c>
      <c r="Q41" s="488">
        <f>IF(P41="","",IF(P41="Leve",0.2,IF(P41="Menor",0.4,IF(P41="Moderado",0.6,IF(P41="Mayor",0.8,IF(P41="Catastrófico",1,))))))</f>
        <v>0.8</v>
      </c>
      <c r="R41" s="491" t="str">
        <f>IF(OR(AND(L41="Muy Baja",P41="Leve"),AND(L41="Muy Baja",P41="Menor"),AND(L41="Baja",P41="Leve")),"Bajo",IF(OR(AND(L41="Muy baja",P41="Moderado"),AND(L41="Baja",P41="Menor"),AND(L41="Baja",P41="Moderado"),AND(L41="Media",P41="Leve"),AND(L41="Media",P41="Menor"),AND(L41="Media",P41="Moderado"),AND(L41="Alta",P41="Leve"),AND(L41="Alta",P41="Menor")),"Moderado",IF(OR(AND(L41="Muy Baja",P41="Mayor"),AND(L41="Baja",P41="Mayor"),AND(L41="Media",P41="Mayor"),AND(L41="Alta",P41="Moderado"),AND(L41="Alta",P41="Mayor"),AND(L41="Muy Alta",P41="Leve"),AND(L41="Muy Alta",P41="Menor"),AND(L41="Muy Alta",P41="Moderado"),AND(L41="Muy Alta",P41="Mayor")),"Alto",IF(OR(AND(L41="Muy Baja",P41="Catastrófico"),AND(L41="Baja",P41="Catastrófico"),AND(L41="Media",P41="Catastrófico"),AND(L41="Alta",P41="Catastrófico"),AND(L41="Muy Alta",P41="Catastrófico")),"Extremo",""))))</f>
        <v>Alto</v>
      </c>
      <c r="S41" s="235">
        <v>1</v>
      </c>
      <c r="T41" s="322" t="s">
        <v>756</v>
      </c>
      <c r="U41" s="305" t="s">
        <v>293</v>
      </c>
      <c r="V41" s="307" t="str">
        <f t="shared" si="67"/>
        <v>Probabilidad</v>
      </c>
      <c r="W41" s="259" t="s">
        <v>13</v>
      </c>
      <c r="X41" s="259" t="s">
        <v>8</v>
      </c>
      <c r="Y41" s="260" t="str">
        <f t="shared" si="68"/>
        <v>40%</v>
      </c>
      <c r="Z41" s="259" t="s">
        <v>18</v>
      </c>
      <c r="AA41" s="259" t="s">
        <v>21</v>
      </c>
      <c r="AB41" s="259" t="s">
        <v>103</v>
      </c>
      <c r="AC41" s="261">
        <f t="shared" ref="AC41" si="76">IFERROR(IF(V41="Probabilidad",(M41-(+M41*Y41)),IF(V41="Impacto",M41,"")),"")</f>
        <v>0.24</v>
      </c>
      <c r="AD41" s="262" t="str">
        <f>IFERROR(IF(AC41="","",IF(AC41&lt;=0.2,"Muy Baja",IF(AC41&lt;=0.4,"Baja",IF(AC41&lt;=0.6,"Media",IF(AC41&lt;=0.8,"Alta","Muy Alta"))))),"")</f>
        <v>Baja</v>
      </c>
      <c r="AE41" s="260">
        <f t="shared" ref="AE41:AE46" si="77">+AC41</f>
        <v>0.24</v>
      </c>
      <c r="AF41" s="262" t="str">
        <f t="shared" si="11"/>
        <v>Mayor</v>
      </c>
      <c r="AG41" s="260">
        <f>IFERROR(IF(V41="Impacto",(Q41-(+Q41*Y41)),IF(V41="Probabilidad",Q41,"")),"")</f>
        <v>0.8</v>
      </c>
      <c r="AH41" s="264" t="str">
        <f>IFERROR(IF(OR(AND(AD41="Muy Baja",AF41="Leve"),AND(AD41="Muy Baja",AF41="Menor"),AND(AD41="Baja",AF41="Leve")),"Bajo",IF(OR(AND(AD41="Muy baja",AF41="Moderado"),AND(AD41="Baja",AF41="Menor"),AND(AD41="Baja",AF41="Moderado"),AND(AD41="Media",AF41="Leve"),AND(AD41="Media",AF41="Menor"),AND(AD41="Media",AF41="Moderado"),AND(AD41="Alta",AF41="Leve"),AND(AD41="Alta",AF41="Menor")),"Moderado",IF(OR(AND(AD41="Muy Baja",AF41="Mayor"),AND(AD41="Baja",AF41="Mayor"),AND(AD41="Media",AF41="Mayor"),AND(AD41="Alta",AF41="Moderado"),AND(AD41="Alta",AF41="Mayor"),AND(AD41="Muy Alta",AF41="Leve"),AND(AD41="Muy Alta",AF41="Menor"),AND(AD41="Muy Alta",AF41="Moderado"),AND(AD41="Muy Alta",AF41="Mayor")),"Alto",IF(OR(AND(AD41="Muy Baja",AF41="Catastrófico"),AND(AD41="Baja",AF41="Catastrófico"),AND(AD41="Media",AF41="Catastrófico"),AND(AD41="Alta",AF41="Catastrófico"),AND(AD41="Muy Alta",AF41="Catastrófico")),"Extremo","")))),"")</f>
        <v>Alto</v>
      </c>
      <c r="AI41" s="259" t="s">
        <v>26</v>
      </c>
      <c r="AJ41" s="236">
        <v>0</v>
      </c>
      <c r="AK41" s="236">
        <v>0</v>
      </c>
      <c r="AL41" s="236">
        <v>0</v>
      </c>
      <c r="AM41" s="236">
        <v>0</v>
      </c>
      <c r="AN41" s="232"/>
      <c r="AO41" s="237"/>
      <c r="AP41" s="237"/>
      <c r="AQ41" s="231"/>
      <c r="AR41" s="239"/>
      <c r="AS41" s="240"/>
      <c r="AT41" s="182"/>
      <c r="AU41" s="251"/>
      <c r="AV41" s="251"/>
      <c r="AW41" s="251"/>
      <c r="AX41" s="251"/>
      <c r="AY41" s="251"/>
      <c r="AZ41" s="251"/>
      <c r="BA41" s="251"/>
      <c r="BB41" s="251"/>
      <c r="BC41" s="251"/>
      <c r="BD41" s="251"/>
      <c r="BE41" s="251"/>
      <c r="BF41" s="251"/>
      <c r="BG41" s="251"/>
      <c r="BH41" s="251"/>
      <c r="BI41" s="251"/>
      <c r="BJ41" s="251"/>
      <c r="BK41" s="251"/>
      <c r="BL41" s="251"/>
      <c r="BM41" s="251"/>
      <c r="BN41" s="251"/>
      <c r="BO41" s="251"/>
      <c r="BP41" s="251"/>
      <c r="BQ41" s="251"/>
      <c r="BR41" s="251"/>
      <c r="BS41" s="251"/>
      <c r="BT41" s="251"/>
      <c r="BU41" s="251"/>
      <c r="BV41" s="251"/>
      <c r="BW41" s="251"/>
      <c r="BX41" s="251"/>
      <c r="BY41" s="251"/>
      <c r="BZ41" s="251"/>
    </row>
    <row r="42" spans="1:78" s="251" customFormat="1" ht="95.25" customHeight="1" x14ac:dyDescent="0.2">
      <c r="A42" s="463"/>
      <c r="B42" s="464"/>
      <c r="C42" s="465"/>
      <c r="D42" s="466"/>
      <c r="E42" s="466"/>
      <c r="F42" s="467"/>
      <c r="G42" s="467"/>
      <c r="H42" s="467"/>
      <c r="I42" s="492"/>
      <c r="J42" s="492"/>
      <c r="K42" s="493"/>
      <c r="L42" s="490"/>
      <c r="M42" s="488"/>
      <c r="N42" s="489"/>
      <c r="O42" s="248">
        <f>IF(NOT(ISERROR(MATCH(N42,_xlfn.ANCHORARRAY(#REF!),0))),#REF!&amp;"Por favor no seleccionar los criterios de impacto",N42)</f>
        <v>0</v>
      </c>
      <c r="P42" s="490"/>
      <c r="Q42" s="488"/>
      <c r="R42" s="491"/>
      <c r="S42" s="235">
        <v>2</v>
      </c>
      <c r="T42" s="322" t="s">
        <v>821</v>
      </c>
      <c r="U42" s="305" t="s">
        <v>293</v>
      </c>
      <c r="V42" s="307" t="str">
        <f t="shared" si="67"/>
        <v>Impacto</v>
      </c>
      <c r="W42" s="259" t="s">
        <v>15</v>
      </c>
      <c r="X42" s="259" t="s">
        <v>8</v>
      </c>
      <c r="Y42" s="260" t="str">
        <f t="shared" si="68"/>
        <v>25%</v>
      </c>
      <c r="Z42" s="259" t="s">
        <v>18</v>
      </c>
      <c r="AA42" s="259" t="s">
        <v>21</v>
      </c>
      <c r="AB42" s="259" t="s">
        <v>103</v>
      </c>
      <c r="AC42" s="261">
        <f t="shared" ref="AC42" si="78">IFERROR(IF(AND(V41="Probabilidad",V42="Probabilidad"),(AE41-(+AE41*Y42)),IF(V42="Probabilidad",(M41-(+M41*Y42)),IF(V42="Impacto",AE41,""))),"")</f>
        <v>0.24</v>
      </c>
      <c r="AD42" s="262" t="str">
        <f t="shared" ref="AD42" si="79">IFERROR(IF(AC42="","",IF(AC42&lt;=0.2,"Muy Baja",IF(AC42&lt;=0.4,"Baja",IF(AC42&lt;=0.6,"Media",IF(AC42&lt;=0.8,"Alta","Muy Alta"))))),"")</f>
        <v>Baja</v>
      </c>
      <c r="AE42" s="260">
        <f t="shared" si="77"/>
        <v>0.24</v>
      </c>
      <c r="AF42" s="262" t="str">
        <f t="shared" si="11"/>
        <v>Moderado</v>
      </c>
      <c r="AG42" s="260">
        <f>IFERROR(IF(AND(V41="Impacto",V42="Impacto"),(AG41-(+AG41*Y42)),IF(V42="Impacto",($Q$41-(+$Q$41*Y42)),IF(V42="Probabilidad",AG41,""))),"")</f>
        <v>0.60000000000000009</v>
      </c>
      <c r="AH42" s="264" t="str">
        <f t="shared" ref="AH42" si="80">IFERROR(IF(OR(AND(AD42="Muy Baja",AF42="Leve"),AND(AD42="Muy Baja",AF42="Menor"),AND(AD42="Baja",AF42="Leve")),"Bajo",IF(OR(AND(AD42="Muy baja",AF42="Moderado"),AND(AD42="Baja",AF42="Menor"),AND(AD42="Baja",AF42="Moderado"),AND(AD42="Media",AF42="Leve"),AND(AD42="Media",AF42="Menor"),AND(AD42="Media",AF42="Moderado"),AND(AD42="Alta",AF42="Leve"),AND(AD42="Alta",AF42="Menor")),"Moderado",IF(OR(AND(AD42="Muy Baja",AF42="Mayor"),AND(AD42="Baja",AF42="Mayor"),AND(AD42="Media",AF42="Mayor"),AND(AD42="Alta",AF42="Moderado"),AND(AD42="Alta",AF42="Mayor"),AND(AD42="Muy Alta",AF42="Leve"),AND(AD42="Muy Alta",AF42="Menor"),AND(AD42="Muy Alta",AF42="Moderado"),AND(AD42="Muy Alta",AF42="Mayor")),"Alto",IF(OR(AND(AD42="Muy Baja",AF42="Catastrófico"),AND(AD42="Baja",AF42="Catastrófico"),AND(AD42="Media",AF42="Catastrófico"),AND(AD42="Alta",AF42="Catastrófico"),AND(AD42="Muy Alta",AF42="Catastrófico")),"Extremo","")))),"")</f>
        <v>Moderado</v>
      </c>
      <c r="AI42" s="259" t="s">
        <v>26</v>
      </c>
      <c r="AJ42" s="236">
        <v>0</v>
      </c>
      <c r="AK42" s="236">
        <v>0</v>
      </c>
      <c r="AL42" s="236">
        <v>0</v>
      </c>
      <c r="AM42" s="236">
        <v>0</v>
      </c>
      <c r="AN42" s="247"/>
      <c r="AO42" s="246"/>
      <c r="AP42" s="246"/>
      <c r="AQ42" s="245"/>
      <c r="AR42" s="238"/>
      <c r="AS42" s="246"/>
      <c r="AT42" s="182"/>
    </row>
    <row r="43" spans="1:78" s="252" customFormat="1" ht="203.25" customHeight="1" x14ac:dyDescent="0.2">
      <c r="A43" s="463" t="s">
        <v>708</v>
      </c>
      <c r="B43" s="464" t="s">
        <v>753</v>
      </c>
      <c r="C43" s="465" t="s">
        <v>604</v>
      </c>
      <c r="D43" s="466" t="s">
        <v>620</v>
      </c>
      <c r="E43" s="466" t="s">
        <v>109</v>
      </c>
      <c r="F43" s="467" t="s">
        <v>1101</v>
      </c>
      <c r="G43" s="467" t="s">
        <v>673</v>
      </c>
      <c r="H43" s="467" t="s">
        <v>757</v>
      </c>
      <c r="I43" s="492" t="s">
        <v>654</v>
      </c>
      <c r="J43" s="492" t="s">
        <v>822</v>
      </c>
      <c r="K43" s="493">
        <v>404000</v>
      </c>
      <c r="L43" s="490" t="str">
        <f t="shared" ref="L43" si="81">IF(K43&lt;=0,"",IF(K43&lt;=2,"Muy Baja",IF(K43&lt;=24,"Baja",IF(K43&lt;=500,"Media",IF(K43&lt;=5000,"Alta","Muy Alta")))))</f>
        <v>Muy Alta</v>
      </c>
      <c r="M43" s="488">
        <f>IF(L43="","",IF(L43="Muy Baja",0.2,IF(L43="Baja",0.4,IF(L43="Media",0.6,IF(L43="Alta",0.8,IF(L43="Muy Alta",1,))))))</f>
        <v>1</v>
      </c>
      <c r="N43" s="489" t="s">
        <v>122</v>
      </c>
      <c r="O43" s="248" t="str">
        <f>IF(NOT(ISERROR(MATCH(N43,'Tabla Impacto'!$B$221:$B$223,0))),'Tabla Impacto'!$F$223&amp;"Por favor no seleccionar los criterios de impacto(Afectación Económica o presupuestal y Pérdida Reputacional)",N43)</f>
        <v xml:space="preserve">     El riesgo afecta la imagen de de la entidad con efecto publicitario sostenido a nivel de sector administrativo, nivel departamental o municipal</v>
      </c>
      <c r="P43" s="490" t="str">
        <f>IF(OR(O43='Tabla Impacto'!$C$11,O43='Tabla Impacto'!$D$11),"Leve",IF(OR(O43='Tabla Impacto'!$C$12,O43='Tabla Impacto'!$D$12),"Menor",IF(OR(O43='Tabla Impacto'!$C$13,O43='Tabla Impacto'!$D$13),"Moderado",IF(OR(O43='Tabla Impacto'!$C$14,O43='Tabla Impacto'!$D$14),"Mayor",IF(OR(O43='Tabla Impacto'!$C$15,O43='Tabla Impacto'!$D$15),"Catastrófico","")))))</f>
        <v>Mayor</v>
      </c>
      <c r="Q43" s="488">
        <f>IF(P43="","",IF(P43="Leve",0.2,IF(P43="Menor",0.4,IF(P43="Moderado",0.6,IF(P43="Mayor",0.8,IF(P43="Catastrófico",1,))))))</f>
        <v>0.8</v>
      </c>
      <c r="R43" s="491" t="str">
        <f>IF(OR(AND(L43="Muy Baja",P43="Leve"),AND(L43="Muy Baja",P43="Menor"),AND(L43="Baja",P43="Leve")),"Bajo",IF(OR(AND(L43="Muy baja",P43="Moderado"),AND(L43="Baja",P43="Menor"),AND(L43="Baja",P43="Moderado"),AND(L43="Media",P43="Leve"),AND(L43="Media",P43="Menor"),AND(L43="Media",P43="Moderado"),AND(L43="Alta",P43="Leve"),AND(L43="Alta",P43="Menor")),"Moderado",IF(OR(AND(L43="Muy Baja",P43="Mayor"),AND(L43="Baja",P43="Mayor"),AND(L43="Media",P43="Mayor"),AND(L43="Alta",P43="Moderado"),AND(L43="Alta",P43="Mayor"),AND(L43="Muy Alta",P43="Leve"),AND(L43="Muy Alta",P43="Menor"),AND(L43="Muy Alta",P43="Moderado"),AND(L43="Muy Alta",P43="Mayor")),"Alto",IF(OR(AND(L43="Muy Baja",P43="Catastrófico"),AND(L43="Baja",P43="Catastrófico"),AND(L43="Media",P43="Catastrófico"),AND(L43="Alta",P43="Catastrófico"),AND(L43="Muy Alta",P43="Catastrófico")),"Extremo",""))))</f>
        <v>Alto</v>
      </c>
      <c r="S43" s="235">
        <v>1</v>
      </c>
      <c r="T43" s="306" t="s">
        <v>1086</v>
      </c>
      <c r="U43" s="245" t="s">
        <v>292</v>
      </c>
      <c r="V43" s="307" t="str">
        <f t="shared" si="67"/>
        <v>Probabilidad</v>
      </c>
      <c r="W43" s="259" t="s">
        <v>13</v>
      </c>
      <c r="X43" s="259" t="s">
        <v>8</v>
      </c>
      <c r="Y43" s="260" t="str">
        <f t="shared" si="68"/>
        <v>40%</v>
      </c>
      <c r="Z43" s="259" t="s">
        <v>18</v>
      </c>
      <c r="AA43" s="259" t="s">
        <v>22</v>
      </c>
      <c r="AB43" s="259" t="s">
        <v>103</v>
      </c>
      <c r="AC43" s="261">
        <f t="shared" ref="AC43" si="82">IFERROR(IF(V43="Probabilidad",(M43-(+M43*Y43)),IF(V43="Impacto",M43,"")),"")</f>
        <v>0.6</v>
      </c>
      <c r="AD43" s="262" t="str">
        <f>IFERROR(IF(AC43="","",IF(AC43&lt;=0.2,"Muy Baja",IF(AC43&lt;=0.4,"Baja",IF(AC43&lt;=0.6,"Media",IF(AC43&lt;=0.8,"Alta","Muy Alta"))))),"")</f>
        <v>Media</v>
      </c>
      <c r="AE43" s="260">
        <f t="shared" si="77"/>
        <v>0.6</v>
      </c>
      <c r="AF43" s="262" t="str">
        <f t="shared" si="11"/>
        <v>Mayor</v>
      </c>
      <c r="AG43" s="260">
        <f>IFERROR(IF(V43="Impacto",(Q43-(+Q43*Y43)),IF(V43="Probabilidad",Q43,"")),"")</f>
        <v>0.8</v>
      </c>
      <c r="AH43" s="264" t="str">
        <f>IFERROR(IF(OR(AND(AD43="Muy Baja",AF43="Leve"),AND(AD43="Muy Baja",AF43="Menor"),AND(AD43="Baja",AF43="Leve")),"Bajo",IF(OR(AND(AD43="Muy baja",AF43="Moderado"),AND(AD43="Baja",AF43="Menor"),AND(AD43="Baja",AF43="Moderado"),AND(AD43="Media",AF43="Leve"),AND(AD43="Media",AF43="Menor"),AND(AD43="Media",AF43="Moderado"),AND(AD43="Alta",AF43="Leve"),AND(AD43="Alta",AF43="Menor")),"Moderado",IF(OR(AND(AD43="Muy Baja",AF43="Mayor"),AND(AD43="Baja",AF43="Mayor"),AND(AD43="Media",AF43="Mayor"),AND(AD43="Alta",AF43="Moderado"),AND(AD43="Alta",AF43="Mayor"),AND(AD43="Muy Alta",AF43="Leve"),AND(AD43="Muy Alta",AF43="Menor"),AND(AD43="Muy Alta",AF43="Moderado"),AND(AD43="Muy Alta",AF43="Mayor")),"Alto",IF(OR(AND(AD43="Muy Baja",AF43="Catastrófico"),AND(AD43="Baja",AF43="Catastrófico"),AND(AD43="Media",AF43="Catastrófico"),AND(AD43="Alta",AF43="Catastrófico"),AND(AD43="Muy Alta",AF43="Catastrófico")),"Extremo","")))),"")</f>
        <v>Alto</v>
      </c>
      <c r="AI43" s="259" t="s">
        <v>26</v>
      </c>
      <c r="AJ43" s="236">
        <v>4</v>
      </c>
      <c r="AK43" s="236">
        <v>1</v>
      </c>
      <c r="AL43" s="236">
        <v>1</v>
      </c>
      <c r="AM43" s="236">
        <v>2</v>
      </c>
      <c r="AN43" s="232"/>
      <c r="AO43" s="237"/>
      <c r="AP43" s="237"/>
      <c r="AQ43" s="231"/>
      <c r="AR43" s="239"/>
      <c r="AS43" s="240"/>
      <c r="AT43" s="182"/>
      <c r="AU43" s="251"/>
      <c r="AV43" s="251"/>
      <c r="AW43" s="251"/>
      <c r="AX43" s="251"/>
      <c r="AY43" s="251"/>
      <c r="AZ43" s="251"/>
      <c r="BA43" s="251"/>
      <c r="BB43" s="251"/>
      <c r="BC43" s="251"/>
      <c r="BD43" s="251"/>
      <c r="BE43" s="251"/>
      <c r="BF43" s="251"/>
      <c r="BG43" s="251"/>
      <c r="BH43" s="251"/>
      <c r="BI43" s="251"/>
      <c r="BJ43" s="251"/>
      <c r="BK43" s="251"/>
      <c r="BL43" s="251"/>
      <c r="BM43" s="251"/>
      <c r="BN43" s="251"/>
      <c r="BO43" s="251"/>
      <c r="BP43" s="251"/>
      <c r="BQ43" s="251"/>
      <c r="BR43" s="251"/>
      <c r="BS43" s="251"/>
      <c r="BT43" s="251"/>
      <c r="BU43" s="251"/>
      <c r="BV43" s="251"/>
      <c r="BW43" s="251"/>
      <c r="BX43" s="251"/>
      <c r="BY43" s="251"/>
      <c r="BZ43" s="251"/>
    </row>
    <row r="44" spans="1:78" s="251" customFormat="1" ht="93" customHeight="1" x14ac:dyDescent="0.2">
      <c r="A44" s="463"/>
      <c r="B44" s="464"/>
      <c r="C44" s="465"/>
      <c r="D44" s="466"/>
      <c r="E44" s="466"/>
      <c r="F44" s="467"/>
      <c r="G44" s="467"/>
      <c r="H44" s="467"/>
      <c r="I44" s="492"/>
      <c r="J44" s="492"/>
      <c r="K44" s="493"/>
      <c r="L44" s="490"/>
      <c r="M44" s="488"/>
      <c r="N44" s="489"/>
      <c r="O44" s="248">
        <f>IF(NOT(ISERROR(MATCH(N44,_xlfn.ANCHORARRAY(#REF!),0))),#REF!&amp;"Por favor no seleccionar los criterios de impacto",N44)</f>
        <v>0</v>
      </c>
      <c r="P44" s="490"/>
      <c r="Q44" s="488"/>
      <c r="R44" s="491"/>
      <c r="S44" s="235">
        <v>2</v>
      </c>
      <c r="T44" s="322" t="s">
        <v>1085</v>
      </c>
      <c r="U44" s="305" t="s">
        <v>293</v>
      </c>
      <c r="V44" s="307" t="str">
        <f t="shared" si="67"/>
        <v>Probabilidad</v>
      </c>
      <c r="W44" s="259" t="s">
        <v>13</v>
      </c>
      <c r="X44" s="259" t="s">
        <v>8</v>
      </c>
      <c r="Y44" s="260" t="str">
        <f t="shared" si="68"/>
        <v>40%</v>
      </c>
      <c r="Z44" s="259" t="s">
        <v>19</v>
      </c>
      <c r="AA44" s="259" t="s">
        <v>21</v>
      </c>
      <c r="AB44" s="259" t="s">
        <v>103</v>
      </c>
      <c r="AC44" s="261">
        <f t="shared" ref="AC44" si="83">IFERROR(IF(AND(V43="Probabilidad",V44="Probabilidad"),(AE43-(+AE43*Y44)),IF(V44="Probabilidad",(M43-(+M43*Y44)),IF(V44="Impacto",AE43,""))),"")</f>
        <v>0.36</v>
      </c>
      <c r="AD44" s="262" t="str">
        <f t="shared" ref="AD44" si="84">IFERROR(IF(AC44="","",IF(AC44&lt;=0.2,"Muy Baja",IF(AC44&lt;=0.4,"Baja",IF(AC44&lt;=0.6,"Media",IF(AC44&lt;=0.8,"Alta","Muy Alta"))))),"")</f>
        <v>Baja</v>
      </c>
      <c r="AE44" s="260">
        <f t="shared" si="77"/>
        <v>0.36</v>
      </c>
      <c r="AF44" s="262" t="str">
        <f t="shared" si="11"/>
        <v>Mayor</v>
      </c>
      <c r="AG44" s="260">
        <f>IFERROR(IF(AND(V43="Impacto",V44="Impacto"),(AG43-(+AG43*Y44)),IF(V44="Impacto",($Q$43-(+$Q$43*Y44)),IF(V44="Probabilidad",AG43,""))),"")</f>
        <v>0.8</v>
      </c>
      <c r="AH44" s="264" t="str">
        <f t="shared" ref="AH44" si="85">IFERROR(IF(OR(AND(AD44="Muy Baja",AF44="Leve"),AND(AD44="Muy Baja",AF44="Menor"),AND(AD44="Baja",AF44="Leve")),"Bajo",IF(OR(AND(AD44="Muy baja",AF44="Moderado"),AND(AD44="Baja",AF44="Menor"),AND(AD44="Baja",AF44="Moderado"),AND(AD44="Media",AF44="Leve"),AND(AD44="Media",AF44="Menor"),AND(AD44="Media",AF44="Moderado"),AND(AD44="Alta",AF44="Leve"),AND(AD44="Alta",AF44="Menor")),"Moderado",IF(OR(AND(AD44="Muy Baja",AF44="Mayor"),AND(AD44="Baja",AF44="Mayor"),AND(AD44="Media",AF44="Mayor"),AND(AD44="Alta",AF44="Moderado"),AND(AD44="Alta",AF44="Mayor"),AND(AD44="Muy Alta",AF44="Leve"),AND(AD44="Muy Alta",AF44="Menor"),AND(AD44="Muy Alta",AF44="Moderado"),AND(AD44="Muy Alta",AF44="Mayor")),"Alto",IF(OR(AND(AD44="Muy Baja",AF44="Catastrófico"),AND(AD44="Baja",AF44="Catastrófico"),AND(AD44="Media",AF44="Catastrófico"),AND(AD44="Alta",AF44="Catastrófico"),AND(AD44="Muy Alta",AF44="Catastrófico")),"Extremo","")))),"")</f>
        <v>Alto</v>
      </c>
      <c r="AI44" s="259" t="s">
        <v>26</v>
      </c>
      <c r="AJ44" s="236">
        <v>4</v>
      </c>
      <c r="AK44" s="236">
        <v>1</v>
      </c>
      <c r="AL44" s="236">
        <v>1</v>
      </c>
      <c r="AM44" s="236">
        <v>2</v>
      </c>
      <c r="AN44" s="247"/>
      <c r="AO44" s="246"/>
      <c r="AP44" s="246"/>
      <c r="AQ44" s="245"/>
      <c r="AR44" s="238"/>
      <c r="AS44" s="246"/>
      <c r="AT44" s="182"/>
    </row>
    <row r="45" spans="1:78" s="252" customFormat="1" ht="122.25" customHeight="1" x14ac:dyDescent="0.2">
      <c r="A45" s="463" t="s">
        <v>709</v>
      </c>
      <c r="B45" s="464" t="s">
        <v>753</v>
      </c>
      <c r="C45" s="465" t="s">
        <v>604</v>
      </c>
      <c r="D45" s="466" t="s">
        <v>620</v>
      </c>
      <c r="E45" s="466" t="s">
        <v>109</v>
      </c>
      <c r="F45" s="467" t="s">
        <v>854</v>
      </c>
      <c r="G45" s="467" t="s">
        <v>853</v>
      </c>
      <c r="H45" s="467" t="s">
        <v>1064</v>
      </c>
      <c r="I45" s="492" t="s">
        <v>654</v>
      </c>
      <c r="J45" s="492" t="s">
        <v>823</v>
      </c>
      <c r="K45" s="493">
        <v>458553</v>
      </c>
      <c r="L45" s="490" t="str">
        <f t="shared" ref="L45" si="86">IF(K45&lt;=0,"",IF(K45&lt;=2,"Muy Baja",IF(K45&lt;=24,"Baja",IF(K45&lt;=500,"Media",IF(K45&lt;=5000,"Alta","Muy Alta")))))</f>
        <v>Muy Alta</v>
      </c>
      <c r="M45" s="488">
        <f>IF(L45="","",IF(L45="Muy Baja",0.2,IF(L45="Baja",0.4,IF(L45="Media",0.6,IF(L45="Alta",0.8,IF(L45="Muy Alta",1,))))))</f>
        <v>1</v>
      </c>
      <c r="N45" s="489" t="s">
        <v>123</v>
      </c>
      <c r="O45" s="248" t="str">
        <f>IF(NOT(ISERROR(MATCH(N45,'Tabla Impacto'!$B$221:$B$223,0))),'Tabla Impacto'!$F$223&amp;"Por favor no seleccionar los criterios de impacto(Afectación Económica o presupuestal y Pérdida Reputacional)",N45)</f>
        <v xml:space="preserve">     El riesgo afecta la imagen de la entidad a nivel nacional, con efecto publicitarios sostenible a nivel país</v>
      </c>
      <c r="P45" s="490" t="str">
        <f>IF(OR(O45='Tabla Impacto'!$C$11,O45='Tabla Impacto'!$D$11),"Leve",IF(OR(O45='Tabla Impacto'!$C$12,O45='Tabla Impacto'!$D$12),"Menor",IF(OR(O45='Tabla Impacto'!$C$13,O45='Tabla Impacto'!$D$13),"Moderado",IF(OR(O45='Tabla Impacto'!$C$14,O45='Tabla Impacto'!$D$14),"Mayor",IF(OR(O45='Tabla Impacto'!$C$15,O45='Tabla Impacto'!$D$15),"Catastrófico","")))))</f>
        <v>Catastrófico</v>
      </c>
      <c r="Q45" s="488">
        <f>IF(P45="","",IF(P45="Leve",0.2,IF(P45="Menor",0.4,IF(P45="Moderado",0.6,IF(P45="Mayor",0.8,IF(P45="Catastrófico",1,))))))</f>
        <v>1</v>
      </c>
      <c r="R45" s="491" t="str">
        <f>IF(OR(AND(L45="Muy Baja",P45="Leve"),AND(L45="Muy Baja",P45="Menor"),AND(L45="Baja",P45="Leve")),"Bajo",IF(OR(AND(L45="Muy baja",P45="Moderado"),AND(L45="Baja",P45="Menor"),AND(L45="Baja",P45="Moderado"),AND(L45="Media",P45="Leve"),AND(L45="Media",P45="Menor"),AND(L45="Media",P45="Moderado"),AND(L45="Alta",P45="Leve"),AND(L45="Alta",P45="Menor")),"Moderado",IF(OR(AND(L45="Muy Baja",P45="Mayor"),AND(L45="Baja",P45="Mayor"),AND(L45="Media",P45="Mayor"),AND(L45="Alta",P45="Moderado"),AND(L45="Alta",P45="Mayor"),AND(L45="Muy Alta",P45="Leve"),AND(L45="Muy Alta",P45="Menor"),AND(L45="Muy Alta",P45="Moderado"),AND(L45="Muy Alta",P45="Mayor")),"Alto",IF(OR(AND(L45="Muy Baja",P45="Catastrófico"),AND(L45="Baja",P45="Catastrófico"),AND(L45="Media",P45="Catastrófico"),AND(L45="Alta",P45="Catastrófico"),AND(L45="Muy Alta",P45="Catastrófico")),"Extremo",""))))</f>
        <v>Extremo</v>
      </c>
      <c r="S45" s="235">
        <v>1</v>
      </c>
      <c r="T45" s="322" t="s">
        <v>857</v>
      </c>
      <c r="U45" s="305" t="s">
        <v>293</v>
      </c>
      <c r="V45" s="307" t="str">
        <f t="shared" si="67"/>
        <v>Probabilidad</v>
      </c>
      <c r="W45" s="259" t="s">
        <v>13</v>
      </c>
      <c r="X45" s="259" t="s">
        <v>8</v>
      </c>
      <c r="Y45" s="260" t="str">
        <f t="shared" si="68"/>
        <v>40%</v>
      </c>
      <c r="Z45" s="259" t="s">
        <v>18</v>
      </c>
      <c r="AA45" s="259" t="s">
        <v>22</v>
      </c>
      <c r="AB45" s="259" t="s">
        <v>103</v>
      </c>
      <c r="AC45" s="261">
        <f>IFERROR(IF(V45="Probabilidad",(M45-(+M45*Y45)),IF(V45="Impacto",M45,"")),"")</f>
        <v>0.6</v>
      </c>
      <c r="AD45" s="262" t="str">
        <f>IFERROR(IF(AC45="","",IF(AC45&lt;=0.2,"Muy Baja",IF(AC45&lt;=0.4,"Baja",IF(AC45&lt;=0.6,"Media",IF(AC45&lt;=0.8,"Alta","Muy Alta"))))),"")</f>
        <v>Media</v>
      </c>
      <c r="AE45" s="260">
        <f t="shared" si="77"/>
        <v>0.6</v>
      </c>
      <c r="AF45" s="262" t="str">
        <f t="shared" si="11"/>
        <v>Catastrófico</v>
      </c>
      <c r="AG45" s="260">
        <f>IFERROR(IF(V45="Impacto",(Q45-(+Q45*Y45)),IF(V45="Probabilidad",Q45,"")),"")</f>
        <v>1</v>
      </c>
      <c r="AH45" s="264" t="str">
        <f>IFERROR(IF(OR(AND(AD45="Muy Baja",AF45="Leve"),AND(AD45="Muy Baja",AF45="Menor"),AND(AD45="Baja",AF45="Leve")),"Bajo",IF(OR(AND(AD45="Muy baja",AF45="Moderado"),AND(AD45="Baja",AF45="Menor"),AND(AD45="Baja",AF45="Moderado"),AND(AD45="Media",AF45="Leve"),AND(AD45="Media",AF45="Menor"),AND(AD45="Media",AF45="Moderado"),AND(AD45="Alta",AF45="Leve"),AND(AD45="Alta",AF45="Menor")),"Moderado",IF(OR(AND(AD45="Muy Baja",AF45="Mayor"),AND(AD45="Baja",AF45="Mayor"),AND(AD45="Media",AF45="Mayor"),AND(AD45="Alta",AF45="Moderado"),AND(AD45="Alta",AF45="Mayor"),AND(AD45="Muy Alta",AF45="Leve"),AND(AD45="Muy Alta",AF45="Menor"),AND(AD45="Muy Alta",AF45="Moderado"),AND(AD45="Muy Alta",AF45="Mayor")),"Alto",IF(OR(AND(AD45="Muy Baja",AF45="Catastrófico"),AND(AD45="Baja",AF45="Catastrófico"),AND(AD45="Media",AF45="Catastrófico"),AND(AD45="Alta",AF45="Catastrófico"),AND(AD45="Muy Alta",AF45="Catastrófico")),"Extremo","")))),"")</f>
        <v>Extremo</v>
      </c>
      <c r="AI45" s="259" t="s">
        <v>26</v>
      </c>
      <c r="AJ45" s="236">
        <v>24</v>
      </c>
      <c r="AK45" s="236">
        <v>8</v>
      </c>
      <c r="AL45" s="236">
        <v>8</v>
      </c>
      <c r="AM45" s="236">
        <v>8</v>
      </c>
      <c r="AN45" s="232"/>
      <c r="AO45" s="237"/>
      <c r="AP45" s="237"/>
      <c r="AQ45" s="231"/>
      <c r="AR45" s="239"/>
      <c r="AS45" s="240"/>
      <c r="AT45" s="182"/>
      <c r="AU45" s="251"/>
      <c r="AV45" s="251"/>
      <c r="AW45" s="251"/>
      <c r="AX45" s="251"/>
      <c r="AY45" s="251"/>
      <c r="AZ45" s="251"/>
      <c r="BA45" s="251"/>
      <c r="BB45" s="251"/>
      <c r="BC45" s="251"/>
      <c r="BD45" s="251"/>
      <c r="BE45" s="251"/>
      <c r="BF45" s="251"/>
      <c r="BG45" s="251"/>
      <c r="BH45" s="251"/>
      <c r="BI45" s="251"/>
      <c r="BJ45" s="251"/>
      <c r="BK45" s="251"/>
      <c r="BL45" s="251"/>
      <c r="BM45" s="251"/>
      <c r="BN45" s="251"/>
      <c r="BO45" s="251"/>
      <c r="BP45" s="251"/>
      <c r="BQ45" s="251"/>
      <c r="BR45" s="251"/>
      <c r="BS45" s="251"/>
      <c r="BT45" s="251"/>
      <c r="BU45" s="251"/>
      <c r="BV45" s="251"/>
      <c r="BW45" s="251"/>
      <c r="BX45" s="251"/>
      <c r="BY45" s="251"/>
      <c r="BZ45" s="251"/>
    </row>
    <row r="46" spans="1:78" s="251" customFormat="1" ht="99.75" customHeight="1" x14ac:dyDescent="0.2">
      <c r="A46" s="463"/>
      <c r="B46" s="464"/>
      <c r="C46" s="465"/>
      <c r="D46" s="466"/>
      <c r="E46" s="466"/>
      <c r="F46" s="467"/>
      <c r="G46" s="467"/>
      <c r="H46" s="467"/>
      <c r="I46" s="492"/>
      <c r="J46" s="492"/>
      <c r="K46" s="493"/>
      <c r="L46" s="490"/>
      <c r="M46" s="488"/>
      <c r="N46" s="489"/>
      <c r="O46" s="248">
        <f>IF(NOT(ISERROR(MATCH(N46,_xlfn.ANCHORARRAY(#REF!),0))),#REF!&amp;"Por favor no seleccionar los criterios de impacto",N46)</f>
        <v>0</v>
      </c>
      <c r="P46" s="490"/>
      <c r="Q46" s="488"/>
      <c r="R46" s="491"/>
      <c r="S46" s="235">
        <v>2</v>
      </c>
      <c r="T46" s="322" t="s">
        <v>797</v>
      </c>
      <c r="U46" s="305" t="s">
        <v>293</v>
      </c>
      <c r="V46" s="307" t="str">
        <f t="shared" si="67"/>
        <v>Probabilidad</v>
      </c>
      <c r="W46" s="259" t="s">
        <v>13</v>
      </c>
      <c r="X46" s="259" t="s">
        <v>8</v>
      </c>
      <c r="Y46" s="260" t="str">
        <f t="shared" si="68"/>
        <v>40%</v>
      </c>
      <c r="Z46" s="259" t="s">
        <v>19</v>
      </c>
      <c r="AA46" s="259" t="s">
        <v>21</v>
      </c>
      <c r="AB46" s="259" t="s">
        <v>103</v>
      </c>
      <c r="AC46" s="261">
        <f t="shared" ref="AC46" si="87">IFERROR(IF(AND(V45="Probabilidad",V46="Probabilidad"),(AE45-(+AE45*Y46)),IF(V46="Probabilidad",(M45-(+M45*Y46)),IF(V46="Impacto",AE45,""))),"")</f>
        <v>0.36</v>
      </c>
      <c r="AD46" s="262" t="str">
        <f t="shared" ref="AD46:AD48" si="88">IFERROR(IF(AC46="","",IF(AC46&lt;=0.2,"Muy Baja",IF(AC46&lt;=0.4,"Baja",IF(AC46&lt;=0.6,"Media",IF(AC46&lt;=0.8,"Alta","Muy Alta"))))),"")</f>
        <v>Baja</v>
      </c>
      <c r="AE46" s="260">
        <f t="shared" si="77"/>
        <v>0.36</v>
      </c>
      <c r="AF46" s="262" t="str">
        <f t="shared" si="11"/>
        <v>Catastrófico</v>
      </c>
      <c r="AG46" s="260">
        <f>IFERROR(IF(AND(V45="Impacto",V46="Impacto"),(AG45-(+AG45*Y46)),IF(V46="Impacto",($Q$45-(+$Q$45*Y46)),IF(V46="Probabilidad",AG45,""))),"")</f>
        <v>1</v>
      </c>
      <c r="AH46" s="264" t="str">
        <f t="shared" ref="AH46:AH47" si="89">IFERROR(IF(OR(AND(AD46="Muy Baja",AF46="Leve"),AND(AD46="Muy Baja",AF46="Menor"),AND(AD46="Baja",AF46="Leve")),"Bajo",IF(OR(AND(AD46="Muy baja",AF46="Moderado"),AND(AD46="Baja",AF46="Menor"),AND(AD46="Baja",AF46="Moderado"),AND(AD46="Media",AF46="Leve"),AND(AD46="Media",AF46="Menor"),AND(AD46="Media",AF46="Moderado"),AND(AD46="Alta",AF46="Leve"),AND(AD46="Alta",AF46="Menor")),"Moderado",IF(OR(AND(AD46="Muy Baja",AF46="Mayor"),AND(AD46="Baja",AF46="Mayor"),AND(AD46="Media",AF46="Mayor"),AND(AD46="Alta",AF46="Moderado"),AND(AD46="Alta",AF46="Mayor"),AND(AD46="Muy Alta",AF46="Leve"),AND(AD46="Muy Alta",AF46="Menor"),AND(AD46="Muy Alta",AF46="Moderado"),AND(AD46="Muy Alta",AF46="Mayor")),"Alto",IF(OR(AND(AD46="Muy Baja",AF46="Catastrófico"),AND(AD46="Baja",AF46="Catastrófico"),AND(AD46="Media",AF46="Catastrófico"),AND(AD46="Alta",AF46="Catastrófico"),AND(AD46="Muy Alta",AF46="Catastrófico")),"Extremo","")))),"")</f>
        <v>Extremo</v>
      </c>
      <c r="AI46" s="259" t="s">
        <v>26</v>
      </c>
      <c r="AJ46" s="236">
        <v>0</v>
      </c>
      <c r="AK46" s="236">
        <v>0</v>
      </c>
      <c r="AL46" s="236">
        <v>0</v>
      </c>
      <c r="AM46" s="236">
        <v>0</v>
      </c>
      <c r="AN46" s="247"/>
      <c r="AO46" s="246"/>
      <c r="AP46" s="246"/>
      <c r="AQ46" s="245"/>
      <c r="AR46" s="238"/>
      <c r="AS46" s="246"/>
      <c r="AT46" s="182"/>
    </row>
    <row r="47" spans="1:78" s="251" customFormat="1" ht="97.5" customHeight="1" x14ac:dyDescent="0.2">
      <c r="A47" s="463"/>
      <c r="B47" s="464"/>
      <c r="C47" s="465"/>
      <c r="D47" s="466"/>
      <c r="E47" s="466"/>
      <c r="F47" s="467"/>
      <c r="G47" s="467"/>
      <c r="H47" s="467"/>
      <c r="I47" s="492"/>
      <c r="J47" s="492"/>
      <c r="K47" s="493"/>
      <c r="L47" s="490"/>
      <c r="M47" s="488"/>
      <c r="N47" s="489"/>
      <c r="O47" s="248">
        <f>IF(NOT(ISERROR(MATCH(N47,_xlfn.ANCHORARRAY(#REF!),0))),#REF!&amp;"Por favor no seleccionar los criterios de impacto",N47)</f>
        <v>0</v>
      </c>
      <c r="P47" s="490"/>
      <c r="Q47" s="488"/>
      <c r="R47" s="491"/>
      <c r="S47" s="235">
        <v>3</v>
      </c>
      <c r="T47" s="322" t="s">
        <v>855</v>
      </c>
      <c r="U47" s="305" t="s">
        <v>293</v>
      </c>
      <c r="V47" s="307" t="str">
        <f t="shared" si="67"/>
        <v>Probabilidad</v>
      </c>
      <c r="W47" s="259" t="s">
        <v>13</v>
      </c>
      <c r="X47" s="259" t="s">
        <v>8</v>
      </c>
      <c r="Y47" s="260" t="str">
        <f t="shared" si="68"/>
        <v>40%</v>
      </c>
      <c r="Z47" s="259" t="s">
        <v>19</v>
      </c>
      <c r="AA47" s="259" t="s">
        <v>21</v>
      </c>
      <c r="AB47" s="259" t="s">
        <v>103</v>
      </c>
      <c r="AC47" s="261">
        <f t="shared" ref="AC47:AC48" si="90">IFERROR(IF(AND(V46="Probabilidad",V47="Probabilidad"),(AE46-(+AE46*Y47)),IF(AND(V46="Impacto",V47="Probabilidad"),(AE45-(+AE45*Y47)),IF(V47="Impacto",AE46,""))),"")</f>
        <v>0.216</v>
      </c>
      <c r="AD47" s="262" t="str">
        <f t="shared" si="88"/>
        <v>Baja</v>
      </c>
      <c r="AE47" s="260">
        <f t="shared" ref="AE47:AE48" si="91">+AC47</f>
        <v>0.216</v>
      </c>
      <c r="AF47" s="262" t="str">
        <f t="shared" si="11"/>
        <v>Catastrófico</v>
      </c>
      <c r="AG47" s="260">
        <f>IFERROR(IF(AND(V46="Impacto",V47="Impacto"),(AG46-(+AG46*Y47)),IF(V47="Impacto",($Q$45-(+$Q$45*Y47)),IF(V47="Probabilidad",AG46,""))),"")</f>
        <v>1</v>
      </c>
      <c r="AH47" s="264" t="str">
        <f t="shared" si="89"/>
        <v>Extremo</v>
      </c>
      <c r="AI47" s="259" t="s">
        <v>26</v>
      </c>
      <c r="AJ47" s="236">
        <v>0</v>
      </c>
      <c r="AK47" s="236">
        <v>0</v>
      </c>
      <c r="AL47" s="236">
        <v>0</v>
      </c>
      <c r="AM47" s="236">
        <v>0</v>
      </c>
      <c r="AN47" s="247"/>
      <c r="AO47" s="246"/>
      <c r="AP47" s="246"/>
      <c r="AQ47" s="245"/>
      <c r="AR47" s="238"/>
      <c r="AS47" s="246"/>
      <c r="AT47" s="182"/>
    </row>
    <row r="48" spans="1:78" s="251" customFormat="1" ht="86.25" x14ac:dyDescent="0.2">
      <c r="A48" s="463"/>
      <c r="B48" s="464"/>
      <c r="C48" s="465"/>
      <c r="D48" s="466"/>
      <c r="E48" s="466"/>
      <c r="F48" s="467"/>
      <c r="G48" s="467"/>
      <c r="H48" s="467"/>
      <c r="I48" s="492"/>
      <c r="J48" s="492"/>
      <c r="K48" s="493"/>
      <c r="L48" s="490"/>
      <c r="M48" s="488"/>
      <c r="N48" s="489"/>
      <c r="O48" s="248">
        <f>IF(NOT(ISERROR(MATCH(N48,_xlfn.ANCHORARRAY(#REF!),0))),#REF!&amp;"Por favor no seleccionar los criterios de impacto",N48)</f>
        <v>0</v>
      </c>
      <c r="P48" s="490"/>
      <c r="Q48" s="488"/>
      <c r="R48" s="491"/>
      <c r="S48" s="235">
        <v>4</v>
      </c>
      <c r="T48" s="322" t="s">
        <v>856</v>
      </c>
      <c r="U48" s="305" t="s">
        <v>293</v>
      </c>
      <c r="V48" s="307" t="str">
        <f t="shared" ref="V48" si="92">IF(OR(W48="Preventivo",W48="Detectivo"),"Probabilidad",IF(W48="Correctivo","Impacto",""))</f>
        <v>Probabilidad</v>
      </c>
      <c r="W48" s="259" t="s">
        <v>13</v>
      </c>
      <c r="X48" s="259" t="s">
        <v>8</v>
      </c>
      <c r="Y48" s="260" t="str">
        <f t="shared" ref="Y48" si="93">IF(AND(W48="Preventivo",X48="Automático"),"50%",IF(AND(W48="Preventivo",X48="Manual"),"40%",IF(AND(W48="Detectivo",X48="Automático"),"40%",IF(AND(W48="Detectivo",X48="Manual"),"30%",IF(AND(W48="Correctivo",X48="Automático"),"35%",IF(AND(W48="Correctivo",X48="Manual"),"25%",""))))))</f>
        <v>40%</v>
      </c>
      <c r="Z48" s="259" t="s">
        <v>19</v>
      </c>
      <c r="AA48" s="259" t="s">
        <v>21</v>
      </c>
      <c r="AB48" s="259" t="s">
        <v>103</v>
      </c>
      <c r="AC48" s="261">
        <f t="shared" si="90"/>
        <v>0.12959999999999999</v>
      </c>
      <c r="AD48" s="262" t="str">
        <f t="shared" si="88"/>
        <v>Muy Baja</v>
      </c>
      <c r="AE48" s="260">
        <f t="shared" si="91"/>
        <v>0.12959999999999999</v>
      </c>
      <c r="AF48" s="262" t="str">
        <f t="shared" si="11"/>
        <v>Catastrófico</v>
      </c>
      <c r="AG48" s="260">
        <f>IFERROR(IF(AND(V47="Impacto",V48="Impacto"),(AG47-(+AG47*Y48)),IF(V48="Impacto",($Q$45-(+$Q$45*Y48)),IF(V48="Probabilidad",AG47,""))),"")</f>
        <v>1</v>
      </c>
      <c r="AH48" s="264" t="str">
        <f>IFERROR(IF(OR(AND(AD48="Muy Baja",AF48="Leve"),AND(AD48="Muy Baja",AF48="Menor"),AND(AD48="Baja",AF48="Leve")),"Bajo",IF(OR(AND(AD48="Muy baja",AF48="Moderado"),AND(AD48="Baja",AF48="Menor"),AND(AD48="Baja",AF48="Moderado"),AND(AD48="Media",AF48="Leve"),AND(AD48="Media",AF48="Menor"),AND(AD48="Media",AF48="Moderado"),AND(AD48="Alta",AF48="Leve"),AND(AD48="Alta",AF48="Menor")),"Moderado",IF(OR(AND(AD48="Muy Baja",AF48="Mayor"),AND(AD48="Baja",AF48="Mayor"),AND(AD48="Media",AF48="Mayor"),AND(AD48="Alta",AF48="Moderado"),AND(AD48="Alta",AF48="Mayor"),AND(AD48="Muy Alta",AF48="Leve"),AND(AD48="Muy Alta",AF48="Menor"),AND(AD48="Muy Alta",AF48="Moderado"),AND(AD48="Muy Alta",AF48="Mayor")),"Alto",IF(OR(AND(AD48="Muy Baja",AF48="Catastrófico"),AND(AD48="Baja",AF48="Catastrófico"),AND(AD48="Media",AF48="Catastrófico"),AND(AD48="Alta",AF48="Catastrófico"),AND(AD48="Muy Alta",AF48="Catastrófico")),"Extremo","")))),"")</f>
        <v>Extremo</v>
      </c>
      <c r="AI48" s="259" t="s">
        <v>26</v>
      </c>
      <c r="AJ48" s="236">
        <v>0</v>
      </c>
      <c r="AK48" s="236">
        <v>0</v>
      </c>
      <c r="AL48" s="236">
        <v>0</v>
      </c>
      <c r="AM48" s="236">
        <v>0</v>
      </c>
      <c r="AN48" s="247"/>
      <c r="AO48" s="205"/>
      <c r="AP48" s="205"/>
      <c r="AQ48" s="184"/>
      <c r="AR48" s="238"/>
      <c r="AS48" s="205"/>
      <c r="AT48" s="182"/>
    </row>
    <row r="49" spans="1:78" s="252" customFormat="1" ht="159" customHeight="1" x14ac:dyDescent="0.2">
      <c r="A49" s="281" t="s">
        <v>933</v>
      </c>
      <c r="B49" s="282" t="s">
        <v>753</v>
      </c>
      <c r="C49" s="211" t="s">
        <v>608</v>
      </c>
      <c r="D49" s="244" t="s">
        <v>620</v>
      </c>
      <c r="E49" s="244" t="s">
        <v>107</v>
      </c>
      <c r="F49" s="324" t="s">
        <v>934</v>
      </c>
      <c r="G49" s="306" t="s">
        <v>673</v>
      </c>
      <c r="H49" s="306" t="s">
        <v>1051</v>
      </c>
      <c r="I49" s="245" t="s">
        <v>654</v>
      </c>
      <c r="J49" s="245" t="s">
        <v>935</v>
      </c>
      <c r="K49" s="247">
        <v>25</v>
      </c>
      <c r="L49" s="284" t="str">
        <f t="shared" ref="L49" si="94">IF(K49&lt;=0,"",IF(K49&lt;=2,"Muy Baja",IF(K49&lt;=24,"Baja",IF(K49&lt;=500,"Media",IF(K49&lt;=5000,"Alta","Muy Alta")))))</f>
        <v>Media</v>
      </c>
      <c r="M49" s="248">
        <f>IF(L49="","",IF(L49="Muy Baja",0.2,IF(L49="Baja",0.4,IF(L49="Media",0.6,IF(L49="Alta",0.8,IF(L49="Muy Alta",1,))))))</f>
        <v>0.6</v>
      </c>
      <c r="N49" s="285" t="s">
        <v>121</v>
      </c>
      <c r="O49" s="248" t="s">
        <v>116</v>
      </c>
      <c r="P49" s="284" t="s">
        <v>70</v>
      </c>
      <c r="Q49" s="248">
        <f>IF(P49="","",IF(P49="Leve",0.2,IF(P49="Menor",0.4,IF(P49="Moderado",0.6,IF(P49="Mayor",0.8,IF(P49="Catastrófico",1,))))))</f>
        <v>0.4</v>
      </c>
      <c r="R49" s="280" t="str">
        <f>IF(OR(AND(L49="Muy Baja",P49="Leve"),AND(L49="Muy Baja",P49="Menor"),AND(L49="Baja",P49="Leve")),"Bajo",IF(OR(AND(L49="Muy baja",P49="Moderado"),AND(L49="Baja",P49="Menor"),AND(L49="Baja",P49="Moderado"),AND(L49="Media",P49="Leve"),AND(L49="Media",P49="Menor"),AND(L49="Media",P49="Moderado"),AND(L49="Alta",P49="Leve"),AND(L49="Alta",P49="Menor")),"Moderado",IF(OR(AND(L49="Muy Baja",P49="Mayor"),AND(L49="Baja",P49="Mayor"),AND(L49="Media",P49="Mayor"),AND(L49="Alta",P49="Moderado"),AND(L49="Alta",P49="Mayor"),AND(L49="Muy Alta",P49="Leve"),AND(L49="Muy Alta",P49="Menor"),AND(L49="Muy Alta",P49="Moderado"),AND(L49="Muy Alta",P49="Mayor")),"Alto",IF(OR(AND(L49="Muy Baja",P49="Catastrófico"),AND(L49="Baja",P49="Catastrófico"),AND(L49="Media",P49="Catastrófico"),AND(L49="Alta",P49="Catastrófico"),AND(L49="Muy Alta",P49="Catastrófico")),"Extremo",""))))</f>
        <v>Moderado</v>
      </c>
      <c r="S49" s="235">
        <v>1</v>
      </c>
      <c r="T49" s="322" t="s">
        <v>936</v>
      </c>
      <c r="U49" s="305" t="s">
        <v>293</v>
      </c>
      <c r="V49" s="307" t="str">
        <f>IF(OR(W49="Preventivo",W49="Detectivo"),"Probabilidad",IF(W49="Correctivo","Impacto",""))</f>
        <v>Probabilidad</v>
      </c>
      <c r="W49" s="259" t="s">
        <v>13</v>
      </c>
      <c r="X49" s="259" t="s">
        <v>8</v>
      </c>
      <c r="Y49" s="260" t="str">
        <f>IF(AND(W49="Preventivo",X49="Automático"),"50%",IF(AND(W49="Preventivo",X49="Manual"),"40%",IF(AND(W49="Detectivo",X49="Automático"),"40%",IF(AND(W49="Detectivo",X49="Manual"),"30%",IF(AND(W49="Correctivo",X49="Automático"),"35%",IF(AND(W49="Correctivo",X49="Manual"),"25%",""))))))</f>
        <v>40%</v>
      </c>
      <c r="Z49" s="259" t="s">
        <v>18</v>
      </c>
      <c r="AA49" s="259" t="s">
        <v>21</v>
      </c>
      <c r="AB49" s="259" t="s">
        <v>103</v>
      </c>
      <c r="AC49" s="261">
        <f t="shared" ref="AC49" si="95">IFERROR(IF(V49="Probabilidad",(M49-(+M49*Y49)),IF(V49="Impacto",M49,"")),"")</f>
        <v>0.36</v>
      </c>
      <c r="AD49" s="262" t="str">
        <f>IFERROR(IF(AC49="","",IF(AC49&lt;=0.2,"Muy Baja",IF(AC49&lt;=0.4,"Baja",IF(AC49&lt;=0.6,"Media",IF(AC49&lt;=0.8,"Alta","Muy Alta"))))),"")</f>
        <v>Baja</v>
      </c>
      <c r="AE49" s="260">
        <f>+AC49</f>
        <v>0.36</v>
      </c>
      <c r="AF49" s="262" t="str">
        <f t="shared" si="11"/>
        <v>Menor</v>
      </c>
      <c r="AG49" s="260">
        <f>IFERROR(IF(V49="Impacto",(Q49-(+Q49*Y49)),IF(V49="Probabilidad",Q49,"")),"")</f>
        <v>0.4</v>
      </c>
      <c r="AH49" s="264" t="str">
        <f>IFERROR(IF(OR(AND(AD49="Muy Baja",AF49="Leve"),AND(AD49="Muy Baja",AF49="Menor"),AND(AD49="Baja",AF49="Leve")),"Bajo",IF(OR(AND(AD49="Muy baja",AF49="Moderado"),AND(AD49="Baja",AF49="Menor"),AND(AD49="Baja",AF49="Moderado"),AND(AD49="Media",AF49="Leve"),AND(AD49="Media",AF49="Menor"),AND(AD49="Media",AF49="Moderado"),AND(AD49="Alta",AF49="Leve"),AND(AD49="Alta",AF49="Menor")),"Moderado",IF(OR(AND(AD49="Muy Baja",AF49="Mayor"),AND(AD49="Baja",AF49="Mayor"),AND(AD49="Media",AF49="Mayor"),AND(AD49="Alta",AF49="Moderado"),AND(AD49="Alta",AF49="Mayor"),AND(AD49="Muy Alta",AF49="Leve"),AND(AD49="Muy Alta",AF49="Menor"),AND(AD49="Muy Alta",AF49="Moderado"),AND(AD49="Muy Alta",AF49="Mayor")),"Alto",IF(OR(AND(AD49="Muy Baja",AF49="Catastrófico"),AND(AD49="Baja",AF49="Catastrófico"),AND(AD49="Media",AF49="Catastrófico"),AND(AD49="Alta",AF49="Catastrófico"),AND(AD49="Muy Alta",AF49="Catastrófico")),"Extremo","")))),"")</f>
        <v>Moderado</v>
      </c>
      <c r="AI49" s="259" t="s">
        <v>26</v>
      </c>
      <c r="AJ49" s="236">
        <v>0</v>
      </c>
      <c r="AK49" s="236">
        <v>0</v>
      </c>
      <c r="AL49" s="236">
        <v>0</v>
      </c>
      <c r="AM49" s="236">
        <v>0</v>
      </c>
      <c r="AN49" s="247"/>
      <c r="AO49" s="237"/>
      <c r="AP49" s="237"/>
      <c r="AQ49" s="231"/>
      <c r="AR49" s="239"/>
      <c r="AS49" s="240"/>
      <c r="AT49" s="182"/>
      <c r="AU49" s="251"/>
      <c r="AV49" s="251"/>
      <c r="AW49" s="251"/>
      <c r="AX49" s="251"/>
      <c r="AY49" s="251"/>
      <c r="AZ49" s="251"/>
      <c r="BA49" s="251"/>
      <c r="BB49" s="251"/>
      <c r="BC49" s="251"/>
      <c r="BD49" s="251"/>
      <c r="BE49" s="251"/>
      <c r="BF49" s="251"/>
      <c r="BG49" s="251"/>
      <c r="BH49" s="251"/>
      <c r="BI49" s="251"/>
      <c r="BJ49" s="251"/>
      <c r="BK49" s="251"/>
      <c r="BL49" s="251"/>
      <c r="BM49" s="251"/>
      <c r="BN49" s="251"/>
      <c r="BO49" s="251"/>
      <c r="BP49" s="251"/>
      <c r="BQ49" s="251"/>
      <c r="BR49" s="251"/>
      <c r="BS49" s="251"/>
      <c r="BT49" s="251"/>
      <c r="BU49" s="251"/>
      <c r="BV49" s="251"/>
      <c r="BW49" s="251"/>
      <c r="BX49" s="251"/>
      <c r="BY49" s="251"/>
      <c r="BZ49" s="251"/>
    </row>
    <row r="50" spans="1:78" s="252" customFormat="1" ht="228.75" customHeight="1" x14ac:dyDescent="0.2">
      <c r="A50" s="281" t="s">
        <v>937</v>
      </c>
      <c r="B50" s="282" t="s">
        <v>753</v>
      </c>
      <c r="C50" s="211" t="s">
        <v>608</v>
      </c>
      <c r="D50" s="244" t="s">
        <v>620</v>
      </c>
      <c r="E50" s="244" t="s">
        <v>107</v>
      </c>
      <c r="F50" s="324" t="s">
        <v>938</v>
      </c>
      <c r="G50" s="324" t="s">
        <v>939</v>
      </c>
      <c r="H50" s="306" t="s">
        <v>1052</v>
      </c>
      <c r="I50" s="245" t="s">
        <v>654</v>
      </c>
      <c r="J50" s="245" t="s">
        <v>940</v>
      </c>
      <c r="K50" s="247">
        <v>11</v>
      </c>
      <c r="L50" s="284" t="str">
        <f t="shared" ref="L50" si="96">IF(K50&lt;=0,"",IF(K50&lt;=2,"Muy Baja",IF(K50&lt;=24,"Baja",IF(K50&lt;=500,"Media",IF(K50&lt;=5000,"Alta","Muy Alta")))))</f>
        <v>Baja</v>
      </c>
      <c r="M50" s="248">
        <f>IF(L50="","",IF(L50="Muy Baja",0.2,IF(L50="Baja",0.4,IF(L50="Media",0.6,IF(L50="Alta",0.8,IF(L50="Muy Alta",1,))))))</f>
        <v>0.4</v>
      </c>
      <c r="N50" s="285" t="s">
        <v>121</v>
      </c>
      <c r="O50" s="248" t="s">
        <v>116</v>
      </c>
      <c r="P50" s="284" t="s">
        <v>70</v>
      </c>
      <c r="Q50" s="248">
        <f>IF(P50="","",IF(P50="Leve",0.2,IF(P50="Menor",0.4,IF(P50="Moderado",0.6,IF(P50="Mayor",0.8,IF(P50="Catastrófico",1,))))))</f>
        <v>0.4</v>
      </c>
      <c r="R50" s="280" t="str">
        <f>IF(OR(AND(L50="Muy Baja",P50="Leve"),AND(L50="Muy Baja",P50="Menor"),AND(L50="Baja",P50="Leve")),"Bajo",IF(OR(AND(L50="Muy baja",P50="Moderado"),AND(L50="Baja",P50="Menor"),AND(L50="Baja",P50="Moderado"),AND(L50="Media",P50="Leve"),AND(L50="Media",P50="Menor"),AND(L50="Media",P50="Moderado"),AND(L50="Alta",P50="Leve"),AND(L50="Alta",P50="Menor")),"Moderado",IF(OR(AND(L50="Muy Baja",P50="Mayor"),AND(L50="Baja",P50="Mayor"),AND(L50="Media",P50="Mayor"),AND(L50="Alta",P50="Moderado"),AND(L50="Alta",P50="Mayor"),AND(L50="Muy Alta",P50="Leve"),AND(L50="Muy Alta",P50="Menor"),AND(L50="Muy Alta",P50="Moderado"),AND(L50="Muy Alta",P50="Mayor")),"Alto",IF(OR(AND(L50="Muy Baja",P50="Catastrófico"),AND(L50="Baja",P50="Catastrófico"),AND(L50="Media",P50="Catastrófico"),AND(L50="Alta",P50="Catastrófico"),AND(L50="Muy Alta",P50="Catastrófico")),"Extremo",""))))</f>
        <v>Moderado</v>
      </c>
      <c r="S50" s="235">
        <v>1</v>
      </c>
      <c r="T50" s="323" t="s">
        <v>941</v>
      </c>
      <c r="U50" s="305" t="s">
        <v>293</v>
      </c>
      <c r="V50" s="307" t="str">
        <f>IF(OR(W50="Preventivo",W50="Detectivo"),"Probabilidad",IF(W50="Correctivo","Impacto",""))</f>
        <v>Probabilidad</v>
      </c>
      <c r="W50" s="259" t="s">
        <v>13</v>
      </c>
      <c r="X50" s="259" t="s">
        <v>8</v>
      </c>
      <c r="Y50" s="260" t="str">
        <f>IF(AND(W50="Preventivo",X50="Automático"),"50%",IF(AND(W50="Preventivo",X50="Manual"),"40%",IF(AND(W50="Detectivo",X50="Automático"),"40%",IF(AND(W50="Detectivo",X50="Manual"),"30%",IF(AND(W50="Correctivo",X50="Automático"),"35%",IF(AND(W50="Correctivo",X50="Manual"),"25%",""))))))</f>
        <v>40%</v>
      </c>
      <c r="Z50" s="259" t="s">
        <v>18</v>
      </c>
      <c r="AA50" s="259" t="s">
        <v>21</v>
      </c>
      <c r="AB50" s="259" t="s">
        <v>103</v>
      </c>
      <c r="AC50" s="261">
        <f t="shared" ref="AC50" si="97">IFERROR(IF(V50="Probabilidad",(M50-(+M50*Y50)),IF(V50="Impacto",M50,"")),"")</f>
        <v>0.24</v>
      </c>
      <c r="AD50" s="262" t="str">
        <f>IFERROR(IF(AC50="","",IF(AC50&lt;=0.2,"Muy Baja",IF(AC50&lt;=0.4,"Baja",IF(AC50&lt;=0.6,"Media",IF(AC50&lt;=0.8,"Alta","Muy Alta"))))),"")</f>
        <v>Baja</v>
      </c>
      <c r="AE50" s="260">
        <f>+AC50</f>
        <v>0.24</v>
      </c>
      <c r="AF50" s="262" t="str">
        <f t="shared" si="11"/>
        <v>Menor</v>
      </c>
      <c r="AG50" s="260">
        <f>IFERROR(IF(V50="Impacto",(Q50-(+Q50*Y50)),IF(V50="Probabilidad",Q50,"")),"")</f>
        <v>0.4</v>
      </c>
      <c r="AH50" s="264" t="str">
        <f>IFERROR(IF(OR(AND(AD50="Muy Baja",AF50="Leve"),AND(AD50="Muy Baja",AF50="Menor"),AND(AD50="Baja",AF50="Leve")),"Bajo",IF(OR(AND(AD50="Muy baja",AF50="Moderado"),AND(AD50="Baja",AF50="Menor"),AND(AD50="Baja",AF50="Moderado"),AND(AD50="Media",AF50="Leve"),AND(AD50="Media",AF50="Menor"),AND(AD50="Media",AF50="Moderado"),AND(AD50="Alta",AF50="Leve"),AND(AD50="Alta",AF50="Menor")),"Moderado",IF(OR(AND(AD50="Muy Baja",AF50="Mayor"),AND(AD50="Baja",AF50="Mayor"),AND(AD50="Media",AF50="Mayor"),AND(AD50="Alta",AF50="Moderado"),AND(AD50="Alta",AF50="Mayor"),AND(AD50="Muy Alta",AF50="Leve"),AND(AD50="Muy Alta",AF50="Menor"),AND(AD50="Muy Alta",AF50="Moderado"),AND(AD50="Muy Alta",AF50="Mayor")),"Alto",IF(OR(AND(AD50="Muy Baja",AF50="Catastrófico"),AND(AD50="Baja",AF50="Catastrófico"),AND(AD50="Media",AF50="Catastrófico"),AND(AD50="Alta",AF50="Catastrófico"),AND(AD50="Muy Alta",AF50="Catastrófico")),"Extremo","")))),"")</f>
        <v>Moderado</v>
      </c>
      <c r="AI50" s="259" t="s">
        <v>26</v>
      </c>
      <c r="AJ50" s="271">
        <v>11</v>
      </c>
      <c r="AK50" s="271">
        <v>3</v>
      </c>
      <c r="AL50" s="236">
        <v>4</v>
      </c>
      <c r="AM50" s="236">
        <v>4</v>
      </c>
      <c r="AN50" s="247"/>
      <c r="AO50" s="237"/>
      <c r="AP50" s="237"/>
      <c r="AQ50" s="231"/>
      <c r="AR50" s="239"/>
      <c r="AS50" s="240"/>
      <c r="AT50" s="182"/>
      <c r="AU50" s="251"/>
      <c r="AV50" s="251"/>
      <c r="AW50" s="251"/>
      <c r="AX50" s="251"/>
      <c r="AY50" s="251"/>
      <c r="AZ50" s="251"/>
      <c r="BA50" s="251"/>
      <c r="BB50" s="251"/>
      <c r="BC50" s="251"/>
      <c r="BD50" s="251"/>
      <c r="BE50" s="251"/>
      <c r="BF50" s="251"/>
      <c r="BG50" s="251"/>
      <c r="BH50" s="251"/>
      <c r="BI50" s="251"/>
      <c r="BJ50" s="251"/>
      <c r="BK50" s="251"/>
      <c r="BL50" s="251"/>
      <c r="BM50" s="251"/>
      <c r="BN50" s="251"/>
      <c r="BO50" s="251"/>
      <c r="BP50" s="251"/>
      <c r="BQ50" s="251"/>
      <c r="BR50" s="251"/>
      <c r="BS50" s="251"/>
      <c r="BT50" s="251"/>
      <c r="BU50" s="251"/>
      <c r="BV50" s="251"/>
      <c r="BW50" s="251"/>
      <c r="BX50" s="251"/>
      <c r="BY50" s="251"/>
      <c r="BZ50" s="251"/>
    </row>
    <row r="51" spans="1:78" s="252" customFormat="1" ht="131.44999999999999" customHeight="1" x14ac:dyDescent="0.2">
      <c r="A51" s="463" t="s">
        <v>981</v>
      </c>
      <c r="B51" s="464" t="s">
        <v>753</v>
      </c>
      <c r="C51" s="465" t="s">
        <v>607</v>
      </c>
      <c r="D51" s="466" t="s">
        <v>620</v>
      </c>
      <c r="E51" s="466" t="s">
        <v>109</v>
      </c>
      <c r="F51" s="467" t="s">
        <v>982</v>
      </c>
      <c r="G51" s="467" t="s">
        <v>983</v>
      </c>
      <c r="H51" s="494" t="s">
        <v>1065</v>
      </c>
      <c r="I51" s="492" t="s">
        <v>654</v>
      </c>
      <c r="J51" s="492" t="s">
        <v>930</v>
      </c>
      <c r="K51" s="493">
        <v>365</v>
      </c>
      <c r="L51" s="490" t="str">
        <f t="shared" ref="L51" si="98">IF(K51&lt;=0,"",IF(K51&lt;=2,"Muy Baja",IF(K51&lt;=24,"Baja",IF(K51&lt;=500,"Media",IF(K51&lt;=5000,"Alta","Muy Alta")))))</f>
        <v>Media</v>
      </c>
      <c r="M51" s="488">
        <f>IF(L51="","",IF(L51="Muy Baja",0.2,IF(L51="Baja",0.4,IF(L51="Media",0.6,IF(L51="Alta",0.8,IF(L51="Muy Alta",1,))))))</f>
        <v>0.6</v>
      </c>
      <c r="N51" s="489" t="s">
        <v>115</v>
      </c>
      <c r="O51" s="248" t="s">
        <v>115</v>
      </c>
      <c r="P51" s="490" t="s">
        <v>67</v>
      </c>
      <c r="Q51" s="488">
        <f>IF(P51="","",IF(P51="Leve",0.2,IF(P51="Menor",0.4,IF(P51="Moderado",0.6,IF(P51="Mayor",0.8,IF(P51="Catastrófico",1,))))))</f>
        <v>0.6</v>
      </c>
      <c r="R51" s="491" t="str">
        <f>IF(OR(AND(L51="Muy Baja",P51="Leve"),AND(L51="Muy Baja",P51="Menor"),AND(L51="Baja",P51="Leve")),"Bajo",IF(OR(AND(L51="Muy baja",P51="Moderado"),AND(L51="Baja",P51="Menor"),AND(L51="Baja",P51="Moderado"),AND(L51="Media",P51="Leve"),AND(L51="Media",P51="Menor"),AND(L51="Media",P51="Moderado"),AND(L51="Alta",P51="Leve"),AND(L51="Alta",P51="Menor")),"Moderado",IF(OR(AND(L51="Muy Baja",P51="Mayor"),AND(L51="Baja",P51="Mayor"),AND(L51="Media",P51="Mayor"),AND(L51="Alta",P51="Moderado"),AND(L51="Alta",P51="Mayor"),AND(L51="Muy Alta",P51="Leve"),AND(L51="Muy Alta",P51="Menor"),AND(L51="Muy Alta",P51="Moderado"),AND(L51="Muy Alta",P51="Mayor")),"Alto",IF(OR(AND(L51="Muy Baja",P51="Catastrófico"),AND(L51="Baja",P51="Catastrófico"),AND(L51="Media",P51="Catastrófico"),AND(L51="Alta",P51="Catastrófico"),AND(L51="Muy Alta",P51="Catastrófico")),"Extremo",""))))</f>
        <v>Moderado</v>
      </c>
      <c r="S51" s="235">
        <v>1</v>
      </c>
      <c r="T51" s="323" t="s">
        <v>984</v>
      </c>
      <c r="U51" s="305" t="s">
        <v>293</v>
      </c>
      <c r="V51" s="307" t="str">
        <f>IF(OR(W51="Preventivo",W51="Detectivo"),"Probabilidad",IF(W51="Correctivo","Impacto",""))</f>
        <v>Impacto</v>
      </c>
      <c r="W51" s="259" t="s">
        <v>15</v>
      </c>
      <c r="X51" s="259" t="s">
        <v>8</v>
      </c>
      <c r="Y51" s="260" t="str">
        <f>IF(AND(W51="Preventivo",X51="Automático"),"50%",IF(AND(W51="Preventivo",X51="Manual"),"40%",IF(AND(W51="Detectivo",X51="Automático"),"40%",IF(AND(W51="Detectivo",X51="Manual"),"30%",IF(AND(W51="Correctivo",X51="Automático"),"35%",IF(AND(W51="Correctivo",X51="Manual"),"25%",""))))))</f>
        <v>25%</v>
      </c>
      <c r="Z51" s="259" t="s">
        <v>18</v>
      </c>
      <c r="AA51" s="259" t="s">
        <v>21</v>
      </c>
      <c r="AB51" s="259" t="s">
        <v>103</v>
      </c>
      <c r="AC51" s="261">
        <f t="shared" ref="AC51" si="99">IFERROR(IF(V51="Probabilidad",(M51-(+M51*Y51)),IF(V51="Impacto",M51,"")),"")</f>
        <v>0.6</v>
      </c>
      <c r="AD51" s="262" t="str">
        <f>IFERROR(IF(AC51="","",IF(AC51&lt;=0.2,"Muy Baja",IF(AC51&lt;=0.4,"Baja",IF(AC51&lt;=0.6,"Media",IF(AC51&lt;=0.8,"Alta","Muy Alta"))))),"")</f>
        <v>Media</v>
      </c>
      <c r="AE51" s="260">
        <f>+AC51</f>
        <v>0.6</v>
      </c>
      <c r="AF51" s="262" t="str">
        <f t="shared" si="11"/>
        <v>Moderado</v>
      </c>
      <c r="AG51" s="260">
        <f>IFERROR(IF(V51="Impacto",(Q51-(+Q51*Y51)),IF(V51="Probabilidad",Q51,"")),"")</f>
        <v>0.44999999999999996</v>
      </c>
      <c r="AH51" s="264" t="str">
        <f>IFERROR(IF(OR(AND(AD51="Muy Baja",AF51="Leve"),AND(AD51="Muy Baja",AF51="Menor"),AND(AD51="Baja",AF51="Leve")),"Bajo",IF(OR(AND(AD51="Muy baja",AF51="Moderado"),AND(AD51="Baja",AF51="Menor"),AND(AD51="Baja",AF51="Moderado"),AND(AD51="Media",AF51="Leve"),AND(AD51="Media",AF51="Menor"),AND(AD51="Media",AF51="Moderado"),AND(AD51="Alta",AF51="Leve"),AND(AD51="Alta",AF51="Menor")),"Moderado",IF(OR(AND(AD51="Muy Baja",AF51="Mayor"),AND(AD51="Baja",AF51="Mayor"),AND(AD51="Media",AF51="Mayor"),AND(AD51="Alta",AF51="Moderado"),AND(AD51="Alta",AF51="Mayor"),AND(AD51="Muy Alta",AF51="Leve"),AND(AD51="Muy Alta",AF51="Menor"),AND(AD51="Muy Alta",AF51="Moderado"),AND(AD51="Muy Alta",AF51="Mayor")),"Alto",IF(OR(AND(AD51="Muy Baja",AF51="Catastrófico"),AND(AD51="Baja",AF51="Catastrófico"),AND(AD51="Media",AF51="Catastrófico"),AND(AD51="Alta",AF51="Catastrófico"),AND(AD51="Muy Alta",AF51="Catastrófico")),"Extremo","")))),"")</f>
        <v>Moderado</v>
      </c>
      <c r="AI51" s="259" t="s">
        <v>26</v>
      </c>
      <c r="AJ51" s="271">
        <v>11</v>
      </c>
      <c r="AK51" s="271">
        <v>3</v>
      </c>
      <c r="AL51" s="236">
        <v>4</v>
      </c>
      <c r="AM51" s="236">
        <v>4</v>
      </c>
      <c r="AN51" s="247"/>
      <c r="AO51" s="237"/>
      <c r="AP51" s="237"/>
      <c r="AQ51" s="231"/>
      <c r="AR51" s="239"/>
      <c r="AS51" s="240"/>
      <c r="AT51" s="182"/>
      <c r="AU51" s="251"/>
      <c r="AV51" s="251"/>
      <c r="AW51" s="251"/>
      <c r="AX51" s="251"/>
      <c r="AY51" s="251"/>
      <c r="AZ51" s="251"/>
      <c r="BA51" s="251"/>
      <c r="BB51" s="251"/>
      <c r="BC51" s="251"/>
      <c r="BD51" s="251"/>
      <c r="BE51" s="251"/>
      <c r="BF51" s="251"/>
      <c r="BG51" s="251"/>
      <c r="BH51" s="251"/>
      <c r="BI51" s="251"/>
      <c r="BJ51" s="251"/>
      <c r="BK51" s="251"/>
      <c r="BL51" s="251"/>
      <c r="BM51" s="251"/>
      <c r="BN51" s="251"/>
      <c r="BO51" s="251"/>
      <c r="BP51" s="251"/>
      <c r="BQ51" s="251"/>
      <c r="BR51" s="251"/>
      <c r="BS51" s="251"/>
      <c r="BT51" s="251"/>
      <c r="BU51" s="251"/>
      <c r="BV51" s="251"/>
      <c r="BW51" s="251"/>
      <c r="BX51" s="251"/>
      <c r="BY51" s="251"/>
      <c r="BZ51" s="251"/>
    </row>
    <row r="52" spans="1:78" s="251" customFormat="1" ht="85.5" x14ac:dyDescent="0.2">
      <c r="A52" s="463"/>
      <c r="B52" s="464"/>
      <c r="C52" s="465"/>
      <c r="D52" s="466"/>
      <c r="E52" s="466"/>
      <c r="F52" s="467"/>
      <c r="G52" s="467"/>
      <c r="H52" s="494"/>
      <c r="I52" s="492"/>
      <c r="J52" s="492"/>
      <c r="K52" s="493"/>
      <c r="L52" s="490"/>
      <c r="M52" s="488"/>
      <c r="N52" s="489"/>
      <c r="O52" s="248">
        <f>IF(NOT(ISERROR(MATCH(N52,_xlfn.ANCHORARRAY(#REF!),0))),#REF!&amp;"Por favor no seleccionar los criterios de impacto",N52)</f>
        <v>0</v>
      </c>
      <c r="P52" s="490"/>
      <c r="Q52" s="488"/>
      <c r="R52" s="491"/>
      <c r="S52" s="235">
        <v>2</v>
      </c>
      <c r="T52" s="323" t="s">
        <v>985</v>
      </c>
      <c r="U52" s="305" t="s">
        <v>293</v>
      </c>
      <c r="V52" s="307" t="str">
        <f>IF(OR(W52="Preventivo",W52="Detectivo"),"Probabilidad",IF(W52="Correctivo","Impacto",""))</f>
        <v>Impacto</v>
      </c>
      <c r="W52" s="259" t="s">
        <v>15</v>
      </c>
      <c r="X52" s="259" t="s">
        <v>8</v>
      </c>
      <c r="Y52" s="260" t="str">
        <f>IF(AND(W52="Preventivo",X52="Automático"),"50%",IF(AND(W52="Preventivo",X52="Manual"),"40%",IF(AND(W52="Detectivo",X52="Automático"),"40%",IF(AND(W52="Detectivo",X52="Manual"),"30%",IF(AND(W52="Correctivo",X52="Automático"),"35%",IF(AND(W52="Correctivo",X52="Manual"),"25%",""))))))</f>
        <v>25%</v>
      </c>
      <c r="Z52" s="259" t="s">
        <v>18</v>
      </c>
      <c r="AA52" s="259" t="s">
        <v>21</v>
      </c>
      <c r="AB52" s="259" t="s">
        <v>103</v>
      </c>
      <c r="AC52" s="261">
        <v>0.6</v>
      </c>
      <c r="AD52" s="262" t="s">
        <v>91</v>
      </c>
      <c r="AE52" s="260">
        <v>0.6</v>
      </c>
      <c r="AF52" s="262" t="str">
        <f t="shared" si="11"/>
        <v>Moderado</v>
      </c>
      <c r="AG52" s="260">
        <v>0.44999999999999996</v>
      </c>
      <c r="AH52" s="264" t="s">
        <v>67</v>
      </c>
      <c r="AI52" s="259" t="s">
        <v>26</v>
      </c>
      <c r="AJ52" s="236">
        <v>0</v>
      </c>
      <c r="AK52" s="236">
        <v>0</v>
      </c>
      <c r="AL52" s="236">
        <v>0</v>
      </c>
      <c r="AM52" s="236">
        <v>0</v>
      </c>
      <c r="AN52" s="247"/>
      <c r="AO52" s="246"/>
      <c r="AP52" s="246"/>
      <c r="AQ52" s="245"/>
      <c r="AR52" s="238"/>
      <c r="AS52" s="246"/>
      <c r="AT52" s="182"/>
    </row>
    <row r="53" spans="1:78" s="251" customFormat="1" ht="90.75" customHeight="1" x14ac:dyDescent="0.2">
      <c r="A53" s="463"/>
      <c r="B53" s="464"/>
      <c r="C53" s="465"/>
      <c r="D53" s="466"/>
      <c r="E53" s="466"/>
      <c r="F53" s="467"/>
      <c r="G53" s="467"/>
      <c r="H53" s="494"/>
      <c r="I53" s="492"/>
      <c r="J53" s="492"/>
      <c r="K53" s="493"/>
      <c r="L53" s="490"/>
      <c r="M53" s="488"/>
      <c r="N53" s="489"/>
      <c r="O53" s="248">
        <f>IF(NOT(ISERROR(MATCH(N53,_xlfn.ANCHORARRAY(#REF!),0))),#REF!&amp;"Por favor no seleccionar los criterios de impacto",N53)</f>
        <v>0</v>
      </c>
      <c r="P53" s="490"/>
      <c r="Q53" s="488"/>
      <c r="R53" s="491"/>
      <c r="S53" s="235">
        <v>3</v>
      </c>
      <c r="T53" s="323" t="s">
        <v>986</v>
      </c>
      <c r="U53" s="305" t="s">
        <v>293</v>
      </c>
      <c r="V53" s="307" t="str">
        <f t="shared" ref="V53" si="100">IF(OR(W53="Preventivo",W53="Detectivo"),"Probabilidad",IF(W53="Correctivo","Impacto",""))</f>
        <v>Probabilidad</v>
      </c>
      <c r="W53" s="259" t="s">
        <v>13</v>
      </c>
      <c r="X53" s="259" t="s">
        <v>8</v>
      </c>
      <c r="Y53" s="260" t="str">
        <f t="shared" ref="Y53" si="101">IF(AND(W53="Preventivo",X53="Automático"),"50%",IF(AND(W53="Preventivo",X53="Manual"),"40%",IF(AND(W53="Detectivo",X53="Automático"),"40%",IF(AND(W53="Detectivo",X53="Manual"),"30%",IF(AND(W53="Correctivo",X53="Automático"),"35%",IF(AND(W53="Correctivo",X53="Manual"),"25%",""))))))</f>
        <v>40%</v>
      </c>
      <c r="Z53" s="259" t="s">
        <v>18</v>
      </c>
      <c r="AA53" s="259" t="s">
        <v>21</v>
      </c>
      <c r="AB53" s="259" t="s">
        <v>103</v>
      </c>
      <c r="AC53" s="261">
        <v>0.6</v>
      </c>
      <c r="AD53" s="262" t="s">
        <v>91</v>
      </c>
      <c r="AE53" s="260">
        <v>0.6</v>
      </c>
      <c r="AF53" s="262" t="str">
        <f t="shared" si="11"/>
        <v>Moderado</v>
      </c>
      <c r="AG53" s="260">
        <v>0.44999999999999996</v>
      </c>
      <c r="AH53" s="264" t="s">
        <v>67</v>
      </c>
      <c r="AI53" s="259" t="s">
        <v>26</v>
      </c>
      <c r="AJ53" s="236">
        <v>0</v>
      </c>
      <c r="AK53" s="236">
        <v>0</v>
      </c>
      <c r="AL53" s="236">
        <v>0</v>
      </c>
      <c r="AM53" s="236">
        <v>0</v>
      </c>
      <c r="AN53" s="247"/>
      <c r="AO53" s="205"/>
      <c r="AP53" s="205"/>
      <c r="AQ53" s="184"/>
      <c r="AR53" s="238"/>
      <c r="AS53" s="205"/>
      <c r="AT53" s="182"/>
    </row>
    <row r="54" spans="1:78" s="252" customFormat="1" ht="149.25" customHeight="1" x14ac:dyDescent="0.2">
      <c r="A54" s="463" t="s">
        <v>987</v>
      </c>
      <c r="B54" s="464" t="s">
        <v>753</v>
      </c>
      <c r="C54" s="465" t="s">
        <v>607</v>
      </c>
      <c r="D54" s="466" t="s">
        <v>620</v>
      </c>
      <c r="E54" s="466" t="s">
        <v>107</v>
      </c>
      <c r="F54" s="494" t="s">
        <v>988</v>
      </c>
      <c r="G54" s="467" t="s">
        <v>673</v>
      </c>
      <c r="H54" s="467" t="s">
        <v>989</v>
      </c>
      <c r="I54" s="492" t="s">
        <v>654</v>
      </c>
      <c r="J54" s="492" t="s">
        <v>930</v>
      </c>
      <c r="K54" s="493">
        <v>12</v>
      </c>
      <c r="L54" s="490" t="str">
        <f t="shared" ref="L54" si="102">IF(K54&lt;=0,"",IF(K54&lt;=2,"Muy Baja",IF(K54&lt;=24,"Baja",IF(K54&lt;=500,"Media",IF(K54&lt;=5000,"Alta","Muy Alta")))))</f>
        <v>Baja</v>
      </c>
      <c r="M54" s="488">
        <f>IF(L54="","",IF(L54="Muy Baja",0.2,IF(L54="Baja",0.4,IF(L54="Media",0.6,IF(L54="Alta",0.8,IF(L54="Muy Alta",1,))))))</f>
        <v>0.4</v>
      </c>
      <c r="N54" s="489" t="s">
        <v>123</v>
      </c>
      <c r="O54" s="248" t="s">
        <v>123</v>
      </c>
      <c r="P54" s="490" t="s">
        <v>71</v>
      </c>
      <c r="Q54" s="488">
        <f>IF(P54="","",IF(P54="Leve",0.2,IF(P54="Menor",0.4,IF(P54="Moderado",0.6,IF(P54="Mayor",0.8,IF(P54="Catastrófico",1,))))))</f>
        <v>1</v>
      </c>
      <c r="R54" s="491" t="str">
        <f>IF(OR(AND(L54="Muy Baja",P54="Leve"),AND(L54="Muy Baja",P54="Menor"),AND(L54="Baja",P54="Leve")),"Bajo",IF(OR(AND(L54="Muy baja",P54="Moderado"),AND(L54="Baja",P54="Menor"),AND(L54="Baja",P54="Moderado"),AND(L54="Media",P54="Leve"),AND(L54="Media",P54="Menor"),AND(L54="Media",P54="Moderado"),AND(L54="Alta",P54="Leve"),AND(L54="Alta",P54="Menor")),"Moderado",IF(OR(AND(L54="Muy Baja",P54="Mayor"),AND(L54="Baja",P54="Mayor"),AND(L54="Media",P54="Mayor"),AND(L54="Alta",P54="Moderado"),AND(L54="Alta",P54="Mayor"),AND(L54="Muy Alta",P54="Leve"),AND(L54="Muy Alta",P54="Menor"),AND(L54="Muy Alta",P54="Moderado"),AND(L54="Muy Alta",P54="Mayor")),"Alto",IF(OR(AND(L54="Muy Baja",P54="Catastrófico"),AND(L54="Baja",P54="Catastrófico"),AND(L54="Media",P54="Catastrófico"),AND(L54="Alta",P54="Catastrófico"),AND(L54="Muy Alta",P54="Catastrófico")),"Extremo",""))))</f>
        <v>Extremo</v>
      </c>
      <c r="S54" s="235">
        <v>1</v>
      </c>
      <c r="T54" s="323" t="s">
        <v>990</v>
      </c>
      <c r="U54" s="305" t="s">
        <v>293</v>
      </c>
      <c r="V54" s="307" t="str">
        <f>IF(OR(W54="Preventivo",W54="Detectivo"),"Probabilidad",IF(W54="Correctivo","Impacto",""))</f>
        <v>Probabilidad</v>
      </c>
      <c r="W54" s="259" t="s">
        <v>13</v>
      </c>
      <c r="X54" s="259" t="s">
        <v>9</v>
      </c>
      <c r="Y54" s="260" t="str">
        <f>IF(AND(W54="Preventivo",X54="Automático"),"50%",IF(AND(W54="Preventivo",X54="Manual"),"40%",IF(AND(W54="Detectivo",X54="Automático"),"40%",IF(AND(W54="Detectivo",X54="Manual"),"30%",IF(AND(W54="Correctivo",X54="Automático"),"35%",IF(AND(W54="Correctivo",X54="Manual"),"25%",""))))))</f>
        <v>50%</v>
      </c>
      <c r="Z54" s="259" t="s">
        <v>18</v>
      </c>
      <c r="AA54" s="259" t="s">
        <v>21</v>
      </c>
      <c r="AB54" s="259" t="s">
        <v>103</v>
      </c>
      <c r="AC54" s="261">
        <f t="shared" ref="AC54" si="103">IFERROR(IF(V54="Probabilidad",(M54-(+M54*Y54)),IF(V54="Impacto",M54,"")),"")</f>
        <v>0.2</v>
      </c>
      <c r="AD54" s="262" t="str">
        <f>IFERROR(IF(AC54="","",IF(AC54&lt;=0.2,"Muy Baja",IF(AC54&lt;=0.4,"Baja",IF(AC54&lt;=0.6,"Media",IF(AC54&lt;=0.8,"Alta","Muy Alta"))))),"")</f>
        <v>Muy Baja</v>
      </c>
      <c r="AE54" s="260">
        <f>+AC54</f>
        <v>0.2</v>
      </c>
      <c r="AF54" s="262" t="str">
        <f t="shared" si="11"/>
        <v>Catastrófico</v>
      </c>
      <c r="AG54" s="260">
        <f>IFERROR(IF(V54="Impacto",(Q54-(+Q54*Y54)),IF(V54="Probabilidad",Q54,"")),"")</f>
        <v>1</v>
      </c>
      <c r="AH54" s="264" t="str">
        <f>IFERROR(IF(OR(AND(AD54="Muy Baja",AF54="Leve"),AND(AD54="Muy Baja",AF54="Menor"),AND(AD54="Baja",AF54="Leve")),"Bajo",IF(OR(AND(AD54="Muy baja",AF54="Moderado"),AND(AD54="Baja",AF54="Menor"),AND(AD54="Baja",AF54="Moderado"),AND(AD54="Media",AF54="Leve"),AND(AD54="Media",AF54="Menor"),AND(AD54="Media",AF54="Moderado"),AND(AD54="Alta",AF54="Leve"),AND(AD54="Alta",AF54="Menor")),"Moderado",IF(OR(AND(AD54="Muy Baja",AF54="Mayor"),AND(AD54="Baja",AF54="Mayor"),AND(AD54="Media",AF54="Mayor"),AND(AD54="Alta",AF54="Moderado"),AND(AD54="Alta",AF54="Mayor"),AND(AD54="Muy Alta",AF54="Leve"),AND(AD54="Muy Alta",AF54="Menor"),AND(AD54="Muy Alta",AF54="Moderado"),AND(AD54="Muy Alta",AF54="Mayor")),"Alto",IF(OR(AND(AD54="Muy Baja",AF54="Catastrófico"),AND(AD54="Baja",AF54="Catastrófico"),AND(AD54="Media",AF54="Catastrófico"),AND(AD54="Alta",AF54="Catastrófico"),AND(AD54="Muy Alta",AF54="Catastrófico")),"Extremo","")))),"")</f>
        <v>Extremo</v>
      </c>
      <c r="AI54" s="259" t="s">
        <v>26</v>
      </c>
      <c r="AJ54" s="236">
        <v>0</v>
      </c>
      <c r="AK54" s="236">
        <v>0</v>
      </c>
      <c r="AL54" s="236">
        <v>0</v>
      </c>
      <c r="AM54" s="236">
        <v>0</v>
      </c>
      <c r="AN54" s="247"/>
      <c r="AO54" s="237"/>
      <c r="AP54" s="237"/>
      <c r="AQ54" s="231"/>
      <c r="AR54" s="239"/>
      <c r="AS54" s="240"/>
      <c r="AT54" s="182"/>
      <c r="AU54" s="251"/>
      <c r="AV54" s="251"/>
      <c r="AW54" s="251"/>
      <c r="AX54" s="251"/>
      <c r="AY54" s="251"/>
      <c r="AZ54" s="251"/>
      <c r="BA54" s="251"/>
      <c r="BB54" s="251"/>
      <c r="BC54" s="251"/>
      <c r="BD54" s="251"/>
      <c r="BE54" s="251"/>
      <c r="BF54" s="251"/>
      <c r="BG54" s="251"/>
      <c r="BH54" s="251"/>
      <c r="BI54" s="251"/>
      <c r="BJ54" s="251"/>
      <c r="BK54" s="251"/>
      <c r="BL54" s="251"/>
      <c r="BM54" s="251"/>
      <c r="BN54" s="251"/>
      <c r="BO54" s="251"/>
      <c r="BP54" s="251"/>
      <c r="BQ54" s="251"/>
      <c r="BR54" s="251"/>
      <c r="BS54" s="251"/>
      <c r="BT54" s="251"/>
      <c r="BU54" s="251"/>
      <c r="BV54" s="251"/>
      <c r="BW54" s="251"/>
      <c r="BX54" s="251"/>
      <c r="BY54" s="251"/>
      <c r="BZ54" s="251"/>
    </row>
    <row r="55" spans="1:78" s="251" customFormat="1" ht="100.5" customHeight="1" x14ac:dyDescent="0.2">
      <c r="A55" s="463"/>
      <c r="B55" s="464"/>
      <c r="C55" s="465"/>
      <c r="D55" s="466"/>
      <c r="E55" s="466"/>
      <c r="F55" s="494"/>
      <c r="G55" s="467"/>
      <c r="H55" s="467"/>
      <c r="I55" s="492"/>
      <c r="J55" s="492"/>
      <c r="K55" s="493"/>
      <c r="L55" s="490"/>
      <c r="M55" s="488"/>
      <c r="N55" s="489"/>
      <c r="O55" s="248">
        <f>IF(NOT(ISERROR(MATCH(N55,_xlfn.ANCHORARRAY(#REF!),0))),#REF!&amp;"Por favor no seleccionar los criterios de impacto",N55)</f>
        <v>0</v>
      </c>
      <c r="P55" s="490"/>
      <c r="Q55" s="488"/>
      <c r="R55" s="491"/>
      <c r="S55" s="235">
        <v>2</v>
      </c>
      <c r="T55" s="323" t="s">
        <v>991</v>
      </c>
      <c r="U55" s="305" t="s">
        <v>293</v>
      </c>
      <c r="V55" s="307" t="str">
        <f>IF(OR(W55="Preventivo",W55="Detectivo"),"Probabilidad",IF(W55="Correctivo","Impacto",""))</f>
        <v>Probabilidad</v>
      </c>
      <c r="W55" s="259" t="s">
        <v>13</v>
      </c>
      <c r="X55" s="259" t="s">
        <v>8</v>
      </c>
      <c r="Y55" s="260" t="str">
        <f>IF(AND(W55="Preventivo",X55="Automático"),"50%",IF(AND(W55="Preventivo",X55="Manual"),"40%",IF(AND(W55="Detectivo",X55="Automático"),"40%",IF(AND(W55="Detectivo",X55="Manual"),"30%",IF(AND(W55="Correctivo",X55="Automático"),"35%",IF(AND(W55="Correctivo",X55="Manual"),"25%",""))))))</f>
        <v>40%</v>
      </c>
      <c r="Z55" s="259" t="s">
        <v>18</v>
      </c>
      <c r="AA55" s="259" t="s">
        <v>21</v>
      </c>
      <c r="AB55" s="259" t="s">
        <v>103</v>
      </c>
      <c r="AC55" s="261">
        <f t="shared" ref="AC55" si="104">IFERROR(IF(AND(V54="Probabilidad",V55="Probabilidad"),(AE54-(+AE54*Y55)),IF(V55="Probabilidad",(M54-(+M54*Y55)),IF(V55="Impacto",AE54,""))),"")</f>
        <v>0.12</v>
      </c>
      <c r="AD55" s="262" t="str">
        <f t="shared" ref="AD55:AD56" si="105">IFERROR(IF(AC55="","",IF(AC55&lt;=0.2,"Muy Baja",IF(AC55&lt;=0.4,"Baja",IF(AC55&lt;=0.6,"Media",IF(AC55&lt;=0.8,"Alta","Muy Alta"))))),"")</f>
        <v>Muy Baja</v>
      </c>
      <c r="AE55" s="260">
        <f>+AC55</f>
        <v>0.12</v>
      </c>
      <c r="AF55" s="262" t="str">
        <f t="shared" si="11"/>
        <v>Catastrófico</v>
      </c>
      <c r="AG55" s="260">
        <f>IFERROR(IF(AND(V54="Impacto",V55="Impacto"),(AG54-(+AG54*Y55)),IF(V55="Impacto",($Q$83-(+$Q$83*Y55)),IF(V55="Probabilidad",AG54,""))),"")</f>
        <v>1</v>
      </c>
      <c r="AH55" s="264" t="str">
        <f t="shared" ref="AH55:AH56" si="106">IFERROR(IF(OR(AND(AD55="Muy Baja",AF55="Leve"),AND(AD55="Muy Baja",AF55="Menor"),AND(AD55="Baja",AF55="Leve")),"Bajo",IF(OR(AND(AD55="Muy baja",AF55="Moderado"),AND(AD55="Baja",AF55="Menor"),AND(AD55="Baja",AF55="Moderado"),AND(AD55="Media",AF55="Leve"),AND(AD55="Media",AF55="Menor"),AND(AD55="Media",AF55="Moderado"),AND(AD55="Alta",AF55="Leve"),AND(AD55="Alta",AF55="Menor")),"Moderado",IF(OR(AND(AD55="Muy Baja",AF55="Mayor"),AND(AD55="Baja",AF55="Mayor"),AND(AD55="Media",AF55="Mayor"),AND(AD55="Alta",AF55="Moderado"),AND(AD55="Alta",AF55="Mayor"),AND(AD55="Muy Alta",AF55="Leve"),AND(AD55="Muy Alta",AF55="Menor"),AND(AD55="Muy Alta",AF55="Moderado"),AND(AD55="Muy Alta",AF55="Mayor")),"Alto",IF(OR(AND(AD55="Muy Baja",AF55="Catastrófico"),AND(AD55="Baja",AF55="Catastrófico"),AND(AD55="Media",AF55="Catastrófico"),AND(AD55="Alta",AF55="Catastrófico"),AND(AD55="Muy Alta",AF55="Catastrófico")),"Extremo","")))),"")</f>
        <v>Extremo</v>
      </c>
      <c r="AI55" s="259" t="s">
        <v>26</v>
      </c>
      <c r="AJ55" s="271">
        <v>3</v>
      </c>
      <c r="AK55" s="271">
        <v>1</v>
      </c>
      <c r="AL55" s="271">
        <v>1</v>
      </c>
      <c r="AM55" s="271">
        <v>1</v>
      </c>
      <c r="AN55" s="247"/>
      <c r="AO55" s="246"/>
      <c r="AP55" s="246"/>
      <c r="AQ55" s="245"/>
      <c r="AR55" s="238"/>
      <c r="AS55" s="246"/>
      <c r="AT55" s="182"/>
    </row>
    <row r="56" spans="1:78" s="251" customFormat="1" ht="100.5" customHeight="1" x14ac:dyDescent="0.2">
      <c r="A56" s="463"/>
      <c r="B56" s="464"/>
      <c r="C56" s="465"/>
      <c r="D56" s="466"/>
      <c r="E56" s="466"/>
      <c r="F56" s="494"/>
      <c r="G56" s="467"/>
      <c r="H56" s="467"/>
      <c r="I56" s="492"/>
      <c r="J56" s="492"/>
      <c r="K56" s="493"/>
      <c r="L56" s="490"/>
      <c r="M56" s="488"/>
      <c r="N56" s="489"/>
      <c r="O56" s="248">
        <f>IF(NOT(ISERROR(MATCH(N56,_xlfn.ANCHORARRAY(#REF!),0))),#REF!&amp;"Por favor no seleccionar los criterios de impacto",N56)</f>
        <v>0</v>
      </c>
      <c r="P56" s="490"/>
      <c r="Q56" s="488"/>
      <c r="R56" s="491"/>
      <c r="S56" s="235">
        <v>3</v>
      </c>
      <c r="T56" s="323" t="s">
        <v>992</v>
      </c>
      <c r="U56" s="305" t="s">
        <v>293</v>
      </c>
      <c r="V56" s="307" t="str">
        <f>IF(OR(W56="Preventivo",W56="Detectivo"),"Probabilidad",IF(W56="Correctivo","Impacto",""))</f>
        <v>Probabilidad</v>
      </c>
      <c r="W56" s="259" t="s">
        <v>13</v>
      </c>
      <c r="X56" s="259" t="s">
        <v>8</v>
      </c>
      <c r="Y56" s="260" t="str">
        <f>IF(AND(W56="Preventivo",X56="Automático"),"50%",IF(AND(W56="Preventivo",X56="Manual"),"40%",IF(AND(W56="Detectivo",X56="Automático"),"40%",IF(AND(W56="Detectivo",X56="Manual"),"30%",IF(AND(W56="Correctivo",X56="Automático"),"35%",IF(AND(W56="Correctivo",X56="Manual"),"25%",""))))))</f>
        <v>40%</v>
      </c>
      <c r="Z56" s="259" t="s">
        <v>18</v>
      </c>
      <c r="AA56" s="259" t="s">
        <v>21</v>
      </c>
      <c r="AB56" s="259" t="s">
        <v>103</v>
      </c>
      <c r="AC56" s="261">
        <f t="shared" ref="AC56" si="107">IFERROR(IF(AND(V55="Probabilidad",V56="Probabilidad"),(AE55-(+AE55*Y56)),IF(AND(V55="Impacto",V56="Probabilidad"),(AE54-(+AE54*Y56)),IF(V56="Impacto",AE55,""))),"")</f>
        <v>7.1999999999999995E-2</v>
      </c>
      <c r="AD56" s="262" t="str">
        <f t="shared" si="105"/>
        <v>Muy Baja</v>
      </c>
      <c r="AE56" s="260">
        <f t="shared" ref="AE56" si="108">+AC56</f>
        <v>7.1999999999999995E-2</v>
      </c>
      <c r="AF56" s="262" t="str">
        <f t="shared" si="11"/>
        <v>Catastrófico</v>
      </c>
      <c r="AG56" s="260">
        <f>IFERROR(IF(AND(V55="Impacto",V56="Impacto"),(AG55-(+AG55*Y56)),IF(V56="Impacto",($Q$83-(+$Q$83*Y56)),IF(V56="Probabilidad",AG55,""))),"")</f>
        <v>1</v>
      </c>
      <c r="AH56" s="264" t="str">
        <f t="shared" si="106"/>
        <v>Extremo</v>
      </c>
      <c r="AI56" s="259" t="s">
        <v>26</v>
      </c>
      <c r="AJ56" s="236">
        <v>12</v>
      </c>
      <c r="AK56" s="236">
        <v>4</v>
      </c>
      <c r="AL56" s="236">
        <v>4</v>
      </c>
      <c r="AM56" s="236">
        <v>4</v>
      </c>
      <c r="AN56" s="247"/>
      <c r="AO56" s="246"/>
      <c r="AP56" s="246"/>
      <c r="AQ56" s="245"/>
      <c r="AR56" s="238"/>
      <c r="AS56" s="246"/>
      <c r="AT56" s="182"/>
    </row>
    <row r="57" spans="1:78" s="252" customFormat="1" ht="110.25" customHeight="1" x14ac:dyDescent="0.2">
      <c r="A57" s="463" t="s">
        <v>993</v>
      </c>
      <c r="B57" s="464" t="s">
        <v>753</v>
      </c>
      <c r="C57" s="465" t="s">
        <v>607</v>
      </c>
      <c r="D57" s="466" t="s">
        <v>620</v>
      </c>
      <c r="E57" s="466" t="s">
        <v>107</v>
      </c>
      <c r="F57" s="494" t="s">
        <v>994</v>
      </c>
      <c r="G57" s="467" t="s">
        <v>673</v>
      </c>
      <c r="H57" s="494" t="s">
        <v>997</v>
      </c>
      <c r="I57" s="492" t="s">
        <v>654</v>
      </c>
      <c r="J57" s="492" t="s">
        <v>930</v>
      </c>
      <c r="K57" s="498">
        <v>8</v>
      </c>
      <c r="L57" s="490" t="str">
        <f t="shared" ref="L57" si="109">IF(K57&lt;=0,"",IF(K57&lt;=2,"Muy Baja",IF(K57&lt;=24,"Baja",IF(K57&lt;=500,"Media",IF(K57&lt;=5000,"Alta","Muy Alta")))))</f>
        <v>Baja</v>
      </c>
      <c r="M57" s="488">
        <f>IF(L57="","",IF(L57="Muy Baja",0.2,IF(L57="Baja",0.4,IF(L57="Media",0.6,IF(L57="Alta",0.8,IF(L57="Muy Alta",1,))))))</f>
        <v>0.4</v>
      </c>
      <c r="N57" s="489" t="s">
        <v>123</v>
      </c>
      <c r="O57" s="248" t="s">
        <v>123</v>
      </c>
      <c r="P57" s="490" t="s">
        <v>71</v>
      </c>
      <c r="Q57" s="488">
        <f>IF(P57="","",IF(P57="Leve",0.2,IF(P57="Menor",0.4,IF(P57="Moderado",0.6,IF(P57="Mayor",0.8,IF(P57="Catastrófico",1,))))))</f>
        <v>1</v>
      </c>
      <c r="R57" s="491" t="str">
        <f>IF(OR(AND(L57="Muy Baja",P57="Leve"),AND(L57="Muy Baja",P57="Menor"),AND(L57="Baja",P57="Leve")),"Bajo",IF(OR(AND(L57="Muy baja",P57="Moderado"),AND(L57="Baja",P57="Menor"),AND(L57="Baja",P57="Moderado"),AND(L57="Media",P57="Leve"),AND(L57="Media",P57="Menor"),AND(L57="Media",P57="Moderado"),AND(L57="Alta",P57="Leve"),AND(L57="Alta",P57="Menor")),"Moderado",IF(OR(AND(L57="Muy Baja",P57="Mayor"),AND(L57="Baja",P57="Mayor"),AND(L57="Media",P57="Mayor"),AND(L57="Alta",P57="Moderado"),AND(L57="Alta",P57="Mayor"),AND(L57="Muy Alta",P57="Leve"),AND(L57="Muy Alta",P57="Menor"),AND(L57="Muy Alta",P57="Moderado"),AND(L57="Muy Alta",P57="Mayor")),"Alto",IF(OR(AND(L57="Muy Baja",P57="Catastrófico"),AND(L57="Baja",P57="Catastrófico"),AND(L57="Media",P57="Catastrófico"),AND(L57="Alta",P57="Catastrófico"),AND(L57="Muy Alta",P57="Catastrófico")),"Extremo",""))))</f>
        <v>Extremo</v>
      </c>
      <c r="S57" s="235">
        <v>1</v>
      </c>
      <c r="T57" s="323" t="s">
        <v>995</v>
      </c>
      <c r="U57" s="305" t="s">
        <v>293</v>
      </c>
      <c r="V57" s="307" t="str">
        <f>IF(OR(W57="Preventivo",W57="Detectivo"),"Probabilidad",IF(W57="Correctivo","Impacto",""))</f>
        <v>Probabilidad</v>
      </c>
      <c r="W57" s="259" t="s">
        <v>13</v>
      </c>
      <c r="X57" s="259" t="s">
        <v>8</v>
      </c>
      <c r="Y57" s="260" t="str">
        <f t="shared" ref="Y57:Y67" si="110">IF(AND(W57="Preventivo",X57="Automático"),"50%",IF(AND(W57="Preventivo",X57="Manual"),"40%",IF(AND(W57="Detectivo",X57="Automático"),"40%",IF(AND(W57="Detectivo",X57="Manual"),"30%",IF(AND(W57="Correctivo",X57="Automático"),"35%",IF(AND(W57="Correctivo",X57="Manual"),"25%",""))))))</f>
        <v>40%</v>
      </c>
      <c r="Z57" s="259" t="s">
        <v>18</v>
      </c>
      <c r="AA57" s="259" t="s">
        <v>21</v>
      </c>
      <c r="AB57" s="259" t="s">
        <v>103</v>
      </c>
      <c r="AC57" s="261">
        <f>IFERROR(IF(V57="Probabilidad",(M57-(+M57*Y57)),IF(V57="Impacto",M57,"")),"")</f>
        <v>0.24</v>
      </c>
      <c r="AD57" s="262" t="str">
        <f>IFERROR(IF(AC57="","",IF(AC57&lt;=0.2,"Muy Baja",IF(AC57&lt;=0.4,"Baja",IF(AC57&lt;=0.6,"Media",IF(AC57&lt;=0.8,"Alta","Muy Alta"))))),"")</f>
        <v>Baja</v>
      </c>
      <c r="AE57" s="260">
        <f>+AC57</f>
        <v>0.24</v>
      </c>
      <c r="AF57" s="262" t="str">
        <f t="shared" si="11"/>
        <v>Catastrófico</v>
      </c>
      <c r="AG57" s="260">
        <f>IFERROR(IF(V57="Impacto",(Q57-(+Q57*Y57)),IF(V57="Probabilidad",Q57,"")),"")</f>
        <v>1</v>
      </c>
      <c r="AH57" s="264" t="str">
        <f>IFERROR(IF(OR(AND(AD57="Muy Baja",AF57="Leve"),AND(AD57="Muy Baja",AF57="Menor"),AND(AD57="Baja",AF57="Leve")),"Bajo",IF(OR(AND(AD57="Muy baja",AF57="Moderado"),AND(AD57="Baja",AF57="Menor"),AND(AD57="Baja",AF57="Moderado"),AND(AD57="Media",AF57="Leve"),AND(AD57="Media",AF57="Menor"),AND(AD57="Media",AF57="Moderado"),AND(AD57="Alta",AF57="Leve"),AND(AD57="Alta",AF57="Menor")),"Moderado",IF(OR(AND(AD57="Muy Baja",AF57="Mayor"),AND(AD57="Baja",AF57="Mayor"),AND(AD57="Media",AF57="Mayor"),AND(AD57="Alta",AF57="Moderado"),AND(AD57="Alta",AF57="Mayor"),AND(AD57="Muy Alta",AF57="Leve"),AND(AD57="Muy Alta",AF57="Menor"),AND(AD57="Muy Alta",AF57="Moderado"),AND(AD57="Muy Alta",AF57="Mayor")),"Alto",IF(OR(AND(AD57="Muy Baja",AF57="Catastrófico"),AND(AD57="Baja",AF57="Catastrófico"),AND(AD57="Media",AF57="Catastrófico"),AND(AD57="Alta",AF57="Catastrófico"),AND(AD57="Muy Alta",AF57="Catastrófico")),"Extremo","")))),"")</f>
        <v>Extremo</v>
      </c>
      <c r="AI57" s="259" t="s">
        <v>26</v>
      </c>
      <c r="AJ57" s="236">
        <v>0</v>
      </c>
      <c r="AK57" s="236">
        <v>0</v>
      </c>
      <c r="AL57" s="236">
        <v>0</v>
      </c>
      <c r="AM57" s="236">
        <v>0</v>
      </c>
      <c r="AN57" s="247"/>
      <c r="AO57" s="237"/>
      <c r="AP57" s="237"/>
      <c r="AQ57" s="231"/>
      <c r="AR57" s="239"/>
      <c r="AS57" s="240"/>
      <c r="AT57" s="182"/>
      <c r="AU57" s="251"/>
      <c r="AV57" s="251"/>
      <c r="AW57" s="251"/>
      <c r="AX57" s="251"/>
      <c r="AY57" s="251"/>
      <c r="AZ57" s="251"/>
      <c r="BA57" s="251"/>
      <c r="BB57" s="251"/>
      <c r="BC57" s="251"/>
      <c r="BD57" s="251"/>
      <c r="BE57" s="251"/>
      <c r="BF57" s="251"/>
      <c r="BG57" s="251"/>
      <c r="BH57" s="251"/>
      <c r="BI57" s="251"/>
      <c r="BJ57" s="251"/>
      <c r="BK57" s="251"/>
      <c r="BL57" s="251"/>
      <c r="BM57" s="251"/>
      <c r="BN57" s="251"/>
      <c r="BO57" s="251"/>
      <c r="BP57" s="251"/>
      <c r="BQ57" s="251"/>
      <c r="BR57" s="251"/>
      <c r="BS57" s="251"/>
      <c r="BT57" s="251"/>
      <c r="BU57" s="251"/>
      <c r="BV57" s="251"/>
      <c r="BW57" s="251"/>
      <c r="BX57" s="251"/>
      <c r="BY57" s="251"/>
      <c r="BZ57" s="251"/>
    </row>
    <row r="58" spans="1:78" s="251" customFormat="1" ht="66.75" customHeight="1" x14ac:dyDescent="0.2">
      <c r="A58" s="463"/>
      <c r="B58" s="464"/>
      <c r="C58" s="465"/>
      <c r="D58" s="466"/>
      <c r="E58" s="466"/>
      <c r="F58" s="494"/>
      <c r="G58" s="467"/>
      <c r="H58" s="494"/>
      <c r="I58" s="492"/>
      <c r="J58" s="492"/>
      <c r="K58" s="498"/>
      <c r="L58" s="490"/>
      <c r="M58" s="488"/>
      <c r="N58" s="489"/>
      <c r="O58" s="248">
        <f>IF(NOT(ISERROR(MATCH(N58,_xlfn.ANCHORARRAY(#REF!),0))),#REF!&amp;"Por favor no seleccionar los criterios de impacto",N58)</f>
        <v>0</v>
      </c>
      <c r="P58" s="490"/>
      <c r="Q58" s="488"/>
      <c r="R58" s="491"/>
      <c r="S58" s="235">
        <v>2</v>
      </c>
      <c r="T58" s="323" t="s">
        <v>996</v>
      </c>
      <c r="U58" s="270" t="s">
        <v>293</v>
      </c>
      <c r="V58" s="269" t="s">
        <v>3</v>
      </c>
      <c r="W58" s="278" t="s">
        <v>13</v>
      </c>
      <c r="X58" s="278" t="s">
        <v>8</v>
      </c>
      <c r="Y58" s="279" t="str">
        <f t="shared" si="110"/>
        <v>40%</v>
      </c>
      <c r="Z58" s="278" t="s">
        <v>18</v>
      </c>
      <c r="AA58" s="259" t="s">
        <v>21</v>
      </c>
      <c r="AB58" s="259" t="s">
        <v>103</v>
      </c>
      <c r="AC58" s="261">
        <v>0.24</v>
      </c>
      <c r="AD58" s="262" t="s">
        <v>39</v>
      </c>
      <c r="AE58" s="260">
        <v>0.24</v>
      </c>
      <c r="AF58" s="262" t="str">
        <f t="shared" si="11"/>
        <v>Catastrófico</v>
      </c>
      <c r="AG58" s="260">
        <v>1</v>
      </c>
      <c r="AH58" s="264" t="s">
        <v>65</v>
      </c>
      <c r="AI58" s="259" t="s">
        <v>26</v>
      </c>
      <c r="AJ58" s="236">
        <v>0</v>
      </c>
      <c r="AK58" s="236">
        <v>0</v>
      </c>
      <c r="AL58" s="236">
        <v>0</v>
      </c>
      <c r="AM58" s="236">
        <v>0</v>
      </c>
      <c r="AN58" s="247"/>
      <c r="AO58" s="245"/>
      <c r="AP58" s="245"/>
      <c r="AQ58" s="247"/>
      <c r="AR58" s="206"/>
      <c r="AS58" s="206"/>
      <c r="AT58" s="182"/>
    </row>
    <row r="59" spans="1:78" s="252" customFormat="1" ht="107.25" customHeight="1" x14ac:dyDescent="0.2">
      <c r="A59" s="463" t="s">
        <v>926</v>
      </c>
      <c r="B59" s="464" t="s">
        <v>753</v>
      </c>
      <c r="C59" s="465" t="s">
        <v>606</v>
      </c>
      <c r="D59" s="466" t="s">
        <v>620</v>
      </c>
      <c r="E59" s="466" t="s">
        <v>107</v>
      </c>
      <c r="F59" s="494" t="s">
        <v>927</v>
      </c>
      <c r="G59" s="494" t="s">
        <v>928</v>
      </c>
      <c r="H59" s="494" t="s">
        <v>929</v>
      </c>
      <c r="I59" s="492" t="s">
        <v>654</v>
      </c>
      <c r="J59" s="492" t="s">
        <v>930</v>
      </c>
      <c r="K59" s="496">
        <v>48</v>
      </c>
      <c r="L59" s="490" t="str">
        <f t="shared" ref="L59" si="111">IF(K59&lt;=0,"",IF(K59&lt;=2,"Muy Baja",IF(K59&lt;=24,"Baja",IF(K59&lt;=500,"Media",IF(K59&lt;=5000,"Alta","Muy Alta")))))</f>
        <v>Media</v>
      </c>
      <c r="M59" s="488">
        <f>IF(L59="","",IF(L59="Muy Baja",0.2,IF(L59="Baja",0.4,IF(L59="Media",0.6,IF(L59="Alta",0.8,IF(L59="Muy Alta",1,))))))</f>
        <v>0.6</v>
      </c>
      <c r="N59" s="489" t="s">
        <v>121</v>
      </c>
      <c r="O59" s="248" t="s">
        <v>121</v>
      </c>
      <c r="P59" s="490" t="s">
        <v>67</v>
      </c>
      <c r="Q59" s="488">
        <f>IF(P59="","",IF(P59="Leve",0.2,IF(P59="Menor",0.4,IF(P59="Moderado",0.6,IF(P59="Mayor",0.8,IF(P59="Catastrófico",1,))))))</f>
        <v>0.6</v>
      </c>
      <c r="R59" s="491" t="str">
        <f>IF(OR(AND(L59="Muy Baja",P59="Leve"),AND(L59="Muy Baja",P59="Menor"),AND(L59="Baja",P59="Leve")),"Bajo",IF(OR(AND(L59="Muy baja",P59="Moderado"),AND(L59="Baja",P59="Menor"),AND(L59="Baja",P59="Moderado"),AND(L59="Media",P59="Leve"),AND(L59="Media",P59="Menor"),AND(L59="Media",P59="Moderado"),AND(L59="Alta",P59="Leve"),AND(L59="Alta",P59="Menor")),"Moderado",IF(OR(AND(L59="Muy Baja",P59="Mayor"),AND(L59="Baja",P59="Mayor"),AND(L59="Media",P59="Mayor"),AND(L59="Alta",P59="Moderado"),AND(L59="Alta",P59="Mayor"),AND(L59="Muy Alta",P59="Leve"),AND(L59="Muy Alta",P59="Menor"),AND(L59="Muy Alta",P59="Moderado"),AND(L59="Muy Alta",P59="Mayor")),"Alto",IF(OR(AND(L59="Muy Baja",P59="Catastrófico"),AND(L59="Baja",P59="Catastrófico"),AND(L59="Media",P59="Catastrófico"),AND(L59="Alta",P59="Catastrófico"),AND(L59="Muy Alta",P59="Catastrófico")),"Extremo",""))))</f>
        <v>Moderado</v>
      </c>
      <c r="S59" s="235">
        <v>1</v>
      </c>
      <c r="T59" s="322" t="s">
        <v>931</v>
      </c>
      <c r="U59" s="305" t="s">
        <v>293</v>
      </c>
      <c r="V59" s="307" t="str">
        <f t="shared" ref="V59:V61" si="112">IF(OR(W59="Preventivo",W59="Detectivo"),"Probabilidad",IF(W59="Correctivo","Impacto",""))</f>
        <v>Probabilidad</v>
      </c>
      <c r="W59" s="259" t="s">
        <v>13</v>
      </c>
      <c r="X59" s="259" t="s">
        <v>8</v>
      </c>
      <c r="Y59" s="260" t="str">
        <f t="shared" si="110"/>
        <v>40%</v>
      </c>
      <c r="Z59" s="259" t="s">
        <v>18</v>
      </c>
      <c r="AA59" s="259" t="s">
        <v>21</v>
      </c>
      <c r="AB59" s="259" t="s">
        <v>103</v>
      </c>
      <c r="AC59" s="261">
        <f t="shared" ref="AC59" si="113">IFERROR(IF(V59="Probabilidad",(M59-(+M59*Y59)),IF(V59="Impacto",M59,"")),"")</f>
        <v>0.36</v>
      </c>
      <c r="AD59" s="262" t="str">
        <f t="shared" ref="AD59" si="114">IFERROR(IF(AC59="","",IF(AC59&lt;=0.2,"Muy Baja",IF(AC59&lt;=0.4,"Baja",IF(AC59&lt;=0.6,"Media",IF(AC59&lt;=0.8,"Alta","Muy Alta"))))),"")</f>
        <v>Baja</v>
      </c>
      <c r="AE59" s="260">
        <f t="shared" ref="AE59:AE69" si="115">+AC59</f>
        <v>0.36</v>
      </c>
      <c r="AF59" s="262" t="str">
        <f t="shared" si="11"/>
        <v>Moderado</v>
      </c>
      <c r="AG59" s="260">
        <f t="shared" ref="AG59" si="116">IFERROR(IF(V59="Impacto",(Q59-(+Q59*Y59)),IF(V59="Probabilidad",Q59,"")),"")</f>
        <v>0.6</v>
      </c>
      <c r="AH59" s="264" t="str">
        <f>IFERROR(IF(OR(AND(AD59="Muy Baja",AF59="Leve"),AND(AD59="Muy Baja",AF59="Menor"),AND(AD59="Baja",AF59="Leve")),"Bajo",IF(OR(AND(AD59="Muy baja",AF59="Moderado"),AND(AD59="Baja",AF59="Menor"),AND(AD59="Baja",AF59="Moderado"),AND(AD59="Media",AF59="Leve"),AND(AD59="Media",AF59="Menor"),AND(AD59="Media",AF59="Moderado"),AND(AD59="Alta",AF59="Leve"),AND(AD59="Alta",AF59="Menor")),"Moderado",IF(OR(AND(AD59="Muy Baja",AF59="Mayor"),AND(AD59="Baja",AF59="Mayor"),AND(AD59="Media",AF59="Mayor"),AND(AD59="Alta",AF59="Moderado"),AND(AD59="Alta",AF59="Mayor"),AND(AD59="Muy Alta",AF59="Leve"),AND(AD59="Muy Alta",AF59="Menor"),AND(AD59="Muy Alta",AF59="Moderado"),AND(AD59="Muy Alta",AF59="Mayor")),"Alto",IF(OR(AND(AD59="Muy Baja",AF59="Catastrófico"),AND(AD59="Baja",AF59="Catastrófico"),AND(AD59="Media",AF59="Catastrófico"),AND(AD59="Alta",AF59="Catastrófico"),AND(AD59="Muy Alta",AF59="Catastrófico")),"Extremo","")))),"")</f>
        <v>Moderado</v>
      </c>
      <c r="AI59" s="259" t="s">
        <v>26</v>
      </c>
      <c r="AJ59" s="236">
        <v>0</v>
      </c>
      <c r="AK59" s="236">
        <v>0</v>
      </c>
      <c r="AL59" s="236">
        <v>0</v>
      </c>
      <c r="AM59" s="236">
        <v>0</v>
      </c>
      <c r="AN59" s="247"/>
      <c r="AO59" s="237"/>
      <c r="AP59" s="237"/>
      <c r="AQ59" s="231"/>
      <c r="AR59" s="239"/>
      <c r="AS59" s="240"/>
      <c r="AT59" s="182"/>
      <c r="AU59" s="251"/>
      <c r="AV59" s="251"/>
      <c r="AW59" s="251"/>
      <c r="AX59" s="251"/>
      <c r="AY59" s="251"/>
      <c r="AZ59" s="251"/>
      <c r="BA59" s="251"/>
      <c r="BB59" s="251"/>
      <c r="BC59" s="251"/>
      <c r="BD59" s="251"/>
      <c r="BE59" s="251"/>
      <c r="BF59" s="251"/>
      <c r="BG59" s="251"/>
      <c r="BH59" s="251"/>
      <c r="BI59" s="251"/>
      <c r="BJ59" s="251"/>
      <c r="BK59" s="251"/>
      <c r="BL59" s="251"/>
      <c r="BM59" s="251"/>
      <c r="BN59" s="251"/>
      <c r="BO59" s="251"/>
      <c r="BP59" s="251"/>
      <c r="BQ59" s="251"/>
      <c r="BR59" s="251"/>
      <c r="BS59" s="251"/>
      <c r="BT59" s="251"/>
      <c r="BU59" s="251"/>
      <c r="BV59" s="251"/>
      <c r="BW59" s="251"/>
      <c r="BX59" s="251"/>
      <c r="BY59" s="251"/>
      <c r="BZ59" s="251"/>
    </row>
    <row r="60" spans="1:78" s="251" customFormat="1" ht="128.25" x14ac:dyDescent="0.2">
      <c r="A60" s="463"/>
      <c r="B60" s="464"/>
      <c r="C60" s="465"/>
      <c r="D60" s="466"/>
      <c r="E60" s="466"/>
      <c r="F60" s="467"/>
      <c r="G60" s="494"/>
      <c r="H60" s="494"/>
      <c r="I60" s="492"/>
      <c r="J60" s="492"/>
      <c r="K60" s="496"/>
      <c r="L60" s="490"/>
      <c r="M60" s="488"/>
      <c r="N60" s="489"/>
      <c r="O60" s="248">
        <f>IF(NOT(ISERROR(MATCH(N60,_xlfn.ANCHORARRAY(#REF!),0))),#REF!&amp;"Por favor no seleccionar los criterios de impacto",N60)</f>
        <v>0</v>
      </c>
      <c r="P60" s="490"/>
      <c r="Q60" s="488"/>
      <c r="R60" s="491"/>
      <c r="S60" s="235">
        <v>2</v>
      </c>
      <c r="T60" s="322" t="s">
        <v>932</v>
      </c>
      <c r="U60" s="305" t="s">
        <v>293</v>
      </c>
      <c r="V60" s="307" t="str">
        <f t="shared" si="112"/>
        <v>Probabilidad</v>
      </c>
      <c r="W60" s="259" t="s">
        <v>13</v>
      </c>
      <c r="X60" s="259" t="s">
        <v>8</v>
      </c>
      <c r="Y60" s="260" t="str">
        <f t="shared" si="110"/>
        <v>40%</v>
      </c>
      <c r="Z60" s="278" t="s">
        <v>19</v>
      </c>
      <c r="AA60" s="259" t="s">
        <v>21</v>
      </c>
      <c r="AB60" s="259" t="s">
        <v>103</v>
      </c>
      <c r="AC60" s="261">
        <f t="shared" ref="AC60" si="117">IFERROR(IF(AND(V59="Probabilidad",V60="Probabilidad"),(AE59-(+AE59*Y60)),IF(V60="Probabilidad",(M59-(+M59*Y60)),IF(V60="Impacto",AE59,""))),"")</f>
        <v>0.216</v>
      </c>
      <c r="AD60" s="262" t="str">
        <f t="shared" ref="AD60" si="118">IFERROR(IF(AC60="","",IF(AC60&lt;=0.2,"Muy Baja",IF(AC60&lt;=0.4,"Baja",IF(AC60&lt;=0.6,"Media",IF(AC60&lt;=0.8,"Alta","Muy Alta"))))),"")</f>
        <v>Baja</v>
      </c>
      <c r="AE60" s="260">
        <f t="shared" si="115"/>
        <v>0.216</v>
      </c>
      <c r="AF60" s="262" t="str">
        <f t="shared" si="11"/>
        <v>Moderado</v>
      </c>
      <c r="AG60" s="260">
        <f>IFERROR(IF(AND(V59="Impacto",V60="Impacto"),(AG59-(+AG59*Y60)),IF(V60="Impacto",($Q$62-(+$Q$62*Y60)),IF(V60="Probabilidad",AG59,""))),"")</f>
        <v>0.6</v>
      </c>
      <c r="AH60" s="264" t="str">
        <f t="shared" ref="AH60" si="119">IFERROR(IF(OR(AND(AD60="Muy Baja",AF60="Leve"),AND(AD60="Muy Baja",AF60="Menor"),AND(AD60="Baja",AF60="Leve")),"Bajo",IF(OR(AND(AD60="Muy baja",AF60="Moderado"),AND(AD60="Baja",AF60="Menor"),AND(AD60="Baja",AF60="Moderado"),AND(AD60="Media",AF60="Leve"),AND(AD60="Media",AF60="Menor"),AND(AD60="Media",AF60="Moderado"),AND(AD60="Alta",AF60="Leve"),AND(AD60="Alta",AF60="Menor")),"Moderado",IF(OR(AND(AD60="Muy Baja",AF60="Mayor"),AND(AD60="Baja",AF60="Mayor"),AND(AD60="Media",AF60="Mayor"),AND(AD60="Alta",AF60="Moderado"),AND(AD60="Alta",AF60="Mayor"),AND(AD60="Muy Alta",AF60="Leve"),AND(AD60="Muy Alta",AF60="Menor"),AND(AD60="Muy Alta",AF60="Moderado"),AND(AD60="Muy Alta",AF60="Mayor")),"Alto",IF(OR(AND(AD60="Muy Baja",AF60="Catastrófico"),AND(AD60="Baja",AF60="Catastrófico"),AND(AD60="Media",AF60="Catastrófico"),AND(AD60="Alta",AF60="Catastrófico"),AND(AD60="Muy Alta",AF60="Catastrófico")),"Extremo","")))),"")</f>
        <v>Moderado</v>
      </c>
      <c r="AI60" s="259" t="s">
        <v>26</v>
      </c>
      <c r="AJ60" s="236">
        <v>0</v>
      </c>
      <c r="AK60" s="236">
        <v>0</v>
      </c>
      <c r="AL60" s="236">
        <v>0</v>
      </c>
      <c r="AM60" s="236">
        <v>0</v>
      </c>
      <c r="AN60" s="247"/>
      <c r="AO60" s="246"/>
      <c r="AP60" s="246"/>
      <c r="AQ60" s="245"/>
      <c r="AR60" s="238"/>
      <c r="AS60" s="246"/>
      <c r="AT60" s="182"/>
    </row>
    <row r="61" spans="1:78" s="252" customFormat="1" ht="173.25" customHeight="1" x14ac:dyDescent="0.2">
      <c r="A61" s="281" t="s">
        <v>915</v>
      </c>
      <c r="B61" s="282" t="s">
        <v>753</v>
      </c>
      <c r="C61" s="211" t="s">
        <v>605</v>
      </c>
      <c r="D61" s="244" t="s">
        <v>620</v>
      </c>
      <c r="E61" s="244" t="s">
        <v>107</v>
      </c>
      <c r="F61" s="324" t="s">
        <v>916</v>
      </c>
      <c r="G61" s="324" t="s">
        <v>917</v>
      </c>
      <c r="H61" s="306" t="s">
        <v>1066</v>
      </c>
      <c r="I61" s="245" t="s">
        <v>654</v>
      </c>
      <c r="J61" s="245" t="s">
        <v>918</v>
      </c>
      <c r="K61" s="247">
        <v>500</v>
      </c>
      <c r="L61" s="284" t="str">
        <f>IF(K61&lt;=0,"",IF(K61&lt;=2,"Muy Baja",IF(K61&lt;=24,"Baja",IF(K61&lt;=500,"Media",IF(K61&lt;=5000,"Alta","Muy Alta")))))</f>
        <v>Media</v>
      </c>
      <c r="M61" s="248">
        <f>IF(L61="","",IF(L61="Muy Baja",0.2,IF(L61="Baja",0.4,IF(L61="Media",0.6,IF(L61="Alta",0.8,IF(L61="Muy Alta",1,))))))</f>
        <v>0.6</v>
      </c>
      <c r="N61" s="285" t="s">
        <v>122</v>
      </c>
      <c r="O61" s="248" t="s">
        <v>122</v>
      </c>
      <c r="P61" s="284" t="s">
        <v>6</v>
      </c>
      <c r="Q61" s="248">
        <f>IF(P61="","",IF(P61="Leve",0.2,IF(P61="Menor",0.4,IF(P61="Moderado",0.6,IF(P61="Mayor",0.8,IF(P61="Catastrófico",1,))))))</f>
        <v>0.8</v>
      </c>
      <c r="R61" s="280" t="str">
        <f>IF(OR(AND(L61="Muy Baja",P61="Leve"),AND(L61="Muy Baja",P61="Menor"),AND(L61="Baja",P61="Leve")),"Bajo",IF(OR(AND(L61="Muy baja",P61="Moderado"),AND(L61="Baja",P61="Menor"),AND(L61="Baja",P61="Moderado"),AND(L61="Media",P61="Leve"),AND(L61="Media",P61="Menor"),AND(L61="Media",P61="Moderado"),AND(L61="Alta",P61="Leve"),AND(L61="Alta",P61="Menor")),"Moderado",IF(OR(AND(L61="Muy Baja",P61="Mayor"),AND(L61="Baja",P61="Mayor"),AND(L61="Media",P61="Mayor"),AND(L61="Alta",P61="Moderado"),AND(L61="Alta",P61="Mayor"),AND(L61="Muy Alta",P61="Leve"),AND(L61="Muy Alta",P61="Menor"),AND(L61="Muy Alta",P61="Moderado"),AND(L61="Muy Alta",P61="Mayor")),"Alto",IF(OR(AND(L61="Muy Baja",P61="Catastrófico"),AND(L61="Baja",P61="Catastrófico"),AND(L61="Media",P61="Catastrófico"),AND(L61="Alta",P61="Catastrófico"),AND(L61="Muy Alta",P61="Catastrófico")),"Extremo",""))))</f>
        <v>Alto</v>
      </c>
      <c r="S61" s="235">
        <v>1</v>
      </c>
      <c r="T61" s="323" t="s">
        <v>919</v>
      </c>
      <c r="U61" s="305" t="s">
        <v>293</v>
      </c>
      <c r="V61" s="307" t="str">
        <f t="shared" si="112"/>
        <v>Probabilidad</v>
      </c>
      <c r="W61" s="259" t="s">
        <v>13</v>
      </c>
      <c r="X61" s="259" t="s">
        <v>8</v>
      </c>
      <c r="Y61" s="260" t="str">
        <f t="shared" si="110"/>
        <v>40%</v>
      </c>
      <c r="Z61" s="259" t="s">
        <v>19</v>
      </c>
      <c r="AA61" s="259" t="s">
        <v>21</v>
      </c>
      <c r="AB61" s="259" t="s">
        <v>103</v>
      </c>
      <c r="AC61" s="261">
        <f>IFERROR(IF(V61="Probabilidad",(M61-(+M61*Y61)),IF(V61="Impacto",M61,"")),"")</f>
        <v>0.36</v>
      </c>
      <c r="AD61" s="262" t="str">
        <f>IFERROR(IF(AC61="","",IF(AC61&lt;=0.2,"Muy Baja",IF(AC61&lt;=0.4,"Baja",IF(AC61&lt;=0.6,"Media",IF(AC61&lt;=0.8,"Alta","Muy Alta"))))),"")</f>
        <v>Baja</v>
      </c>
      <c r="AE61" s="260">
        <f t="shared" si="115"/>
        <v>0.36</v>
      </c>
      <c r="AF61" s="262" t="str">
        <f t="shared" si="11"/>
        <v>Mayor</v>
      </c>
      <c r="AG61" s="260">
        <f>IFERROR(IF(V61="Impacto",(Q61-(+Q61*Y61)),IF(V61="Probabilidad",Q61,"")),"")</f>
        <v>0.8</v>
      </c>
      <c r="AH61" s="264" t="str">
        <f t="shared" ref="AH61:AH63" si="120">IFERROR(IF(OR(AND(AD61="Muy Baja",AF61="Leve"),AND(AD61="Muy Baja",AF61="Menor"),AND(AD61="Baja",AF61="Leve")),"Bajo",IF(OR(AND(AD61="Muy baja",AF61="Moderado"),AND(AD61="Baja",AF61="Menor"),AND(AD61="Baja",AF61="Moderado"),AND(AD61="Media",AF61="Leve"),AND(AD61="Media",AF61="Menor"),AND(AD61="Media",AF61="Moderado"),AND(AD61="Alta",AF61="Leve"),AND(AD61="Alta",AF61="Menor")),"Moderado",IF(OR(AND(AD61="Muy Baja",AF61="Mayor"),AND(AD61="Baja",AF61="Mayor"),AND(AD61="Media",AF61="Mayor"),AND(AD61="Alta",AF61="Moderado"),AND(AD61="Alta",AF61="Mayor"),AND(AD61="Muy Alta",AF61="Leve"),AND(AD61="Muy Alta",AF61="Menor"),AND(AD61="Muy Alta",AF61="Moderado"),AND(AD61="Muy Alta",AF61="Mayor")),"Alto",IF(OR(AND(AD61="Muy Baja",AF61="Catastrófico"),AND(AD61="Baja",AF61="Catastrófico"),AND(AD61="Media",AF61="Catastrófico"),AND(AD61="Alta",AF61="Catastrófico"),AND(AD61="Muy Alta",AF61="Catastrófico")),"Extremo","")))),"")</f>
        <v>Alto</v>
      </c>
      <c r="AI61" s="259" t="s">
        <v>26</v>
      </c>
      <c r="AJ61" s="236">
        <v>11</v>
      </c>
      <c r="AK61" s="236">
        <v>3</v>
      </c>
      <c r="AL61" s="236">
        <v>4</v>
      </c>
      <c r="AM61" s="236">
        <v>4</v>
      </c>
      <c r="AN61" s="232"/>
      <c r="AO61" s="237"/>
      <c r="AP61" s="237"/>
      <c r="AQ61" s="231"/>
      <c r="AR61" s="239"/>
      <c r="AS61" s="240"/>
      <c r="AT61" s="182"/>
      <c r="AU61" s="251"/>
      <c r="AV61" s="251"/>
      <c r="AW61" s="251"/>
      <c r="AX61" s="251"/>
      <c r="AY61" s="251"/>
      <c r="AZ61" s="251"/>
      <c r="BA61" s="251"/>
      <c r="BB61" s="251"/>
      <c r="BC61" s="251"/>
      <c r="BD61" s="251"/>
      <c r="BE61" s="251"/>
      <c r="BF61" s="251"/>
      <c r="BG61" s="251"/>
      <c r="BH61" s="251"/>
      <c r="BI61" s="251"/>
      <c r="BJ61" s="251"/>
      <c r="BK61" s="251"/>
      <c r="BL61" s="251"/>
      <c r="BM61" s="251"/>
      <c r="BN61" s="251"/>
      <c r="BO61" s="251"/>
      <c r="BP61" s="251"/>
      <c r="BQ61" s="251"/>
      <c r="BR61" s="251"/>
      <c r="BS61" s="251"/>
      <c r="BT61" s="251"/>
      <c r="BU61" s="251"/>
      <c r="BV61" s="251"/>
      <c r="BW61" s="251"/>
      <c r="BX61" s="251"/>
      <c r="BY61" s="251"/>
      <c r="BZ61" s="251"/>
    </row>
    <row r="62" spans="1:78" s="252" customFormat="1" ht="113.25" customHeight="1" x14ac:dyDescent="0.2">
      <c r="A62" s="463" t="s">
        <v>920</v>
      </c>
      <c r="B62" s="464" t="s">
        <v>753</v>
      </c>
      <c r="C62" s="465" t="s">
        <v>605</v>
      </c>
      <c r="D62" s="466" t="s">
        <v>620</v>
      </c>
      <c r="E62" s="466" t="s">
        <v>109</v>
      </c>
      <c r="F62" s="494" t="s">
        <v>921</v>
      </c>
      <c r="G62" s="494" t="s">
        <v>922</v>
      </c>
      <c r="H62" s="494" t="s">
        <v>923</v>
      </c>
      <c r="I62" s="492" t="s">
        <v>654</v>
      </c>
      <c r="J62" s="492" t="s">
        <v>924</v>
      </c>
      <c r="K62" s="493">
        <v>10</v>
      </c>
      <c r="L62" s="490" t="str">
        <f>IF(K62&lt;=0,"",IF(K62&lt;=2,"Muy Baja",IF(K62&lt;=24,"Baja",IF(K62&lt;=500,"Media",IF(K62&lt;=5000,"Alta","Muy Alta")))))</f>
        <v>Baja</v>
      </c>
      <c r="M62" s="488">
        <f>IF(L62="","",IF(L62="Muy Baja",0.2,IF(L62="Baja",0.4,IF(L62="Media",0.6,IF(L62="Alta",0.8,IF(L62="Muy Alta",1,))))))</f>
        <v>0.4</v>
      </c>
      <c r="N62" s="489" t="s">
        <v>121</v>
      </c>
      <c r="O62" s="248" t="s">
        <v>121</v>
      </c>
      <c r="P62" s="490" t="s">
        <v>67</v>
      </c>
      <c r="Q62" s="488">
        <f>IF(P62="","",IF(P62="Leve",0.2,IF(P62="Menor",0.4,IF(P62="Moderado",0.6,IF(P62="Mayor",0.8,IF(P62="Catastrófico",1,))))))</f>
        <v>0.6</v>
      </c>
      <c r="R62" s="491" t="str">
        <f>IF(OR(AND(L62="Muy Baja",P62="Leve"),AND(L62="Muy Baja",P62="Menor"),AND(L62="Baja",P62="Leve")),"Bajo",IF(OR(AND(L62="Muy baja",P62="Moderado"),AND(L62="Baja",P62="Menor"),AND(L62="Baja",P62="Moderado"),AND(L62="Media",P62="Leve"),AND(L62="Media",P62="Menor"),AND(L62="Media",P62="Moderado"),AND(L62="Alta",P62="Leve"),AND(L62="Alta",P62="Menor")),"Moderado",IF(OR(AND(L62="Muy Baja",P62="Mayor"),AND(L62="Baja",P62="Mayor"),AND(L62="Media",P62="Mayor"),AND(L62="Alta",P62="Moderado"),AND(L62="Alta",P62="Mayor"),AND(L62="Muy Alta",P62="Leve"),AND(L62="Muy Alta",P62="Menor"),AND(L62="Muy Alta",P62="Moderado"),AND(L62="Muy Alta",P62="Mayor")),"Alto",IF(OR(AND(L62="Muy Baja",P62="Catastrófico"),AND(L62="Baja",P62="Catastrófico"),AND(L62="Media",P62="Catastrófico"),AND(L62="Alta",P62="Catastrófico"),AND(L62="Muy Alta",P62="Catastrófico")),"Extremo",""))))</f>
        <v>Moderado</v>
      </c>
      <c r="S62" s="235">
        <v>1</v>
      </c>
      <c r="T62" s="323" t="s">
        <v>1035</v>
      </c>
      <c r="U62" s="305" t="s">
        <v>293</v>
      </c>
      <c r="V62" s="307" t="str">
        <f t="shared" ref="V62:V63" si="121">IF(OR(W62="Preventivo",W62="Detectivo"),"Probabilidad",IF(W62="Correctivo","Impacto",""))</f>
        <v>Probabilidad</v>
      </c>
      <c r="W62" s="259" t="s">
        <v>14</v>
      </c>
      <c r="X62" s="259" t="s">
        <v>8</v>
      </c>
      <c r="Y62" s="260" t="str">
        <f t="shared" si="110"/>
        <v>30%</v>
      </c>
      <c r="Z62" s="259" t="s">
        <v>18</v>
      </c>
      <c r="AA62" s="259" t="s">
        <v>21</v>
      </c>
      <c r="AB62" s="259" t="s">
        <v>103</v>
      </c>
      <c r="AC62" s="261">
        <f>IFERROR(IF(V62="Probabilidad",(M62-(+M62*Y62)),IF(V62="Impacto",M62,"")),"")</f>
        <v>0.28000000000000003</v>
      </c>
      <c r="AD62" s="262" t="str">
        <f>IFERROR(IF(AC62="","",IF(AC62&lt;=0.2,"Muy Baja",IF(AC62&lt;=0.4,"Baja",IF(AC62&lt;=0.6,"Media",IF(AC62&lt;=0.8,"Alta","Muy Alta"))))),"")</f>
        <v>Baja</v>
      </c>
      <c r="AE62" s="260">
        <f t="shared" si="115"/>
        <v>0.28000000000000003</v>
      </c>
      <c r="AF62" s="262" t="str">
        <f t="shared" si="11"/>
        <v>Moderado</v>
      </c>
      <c r="AG62" s="260">
        <f>IFERROR(IF(V62="Impacto",(Q62-(+Q62*Y62)),IF(V62="Probabilidad",Q62,"")),"")</f>
        <v>0.6</v>
      </c>
      <c r="AH62" s="264" t="str">
        <f t="shared" si="120"/>
        <v>Moderado</v>
      </c>
      <c r="AI62" s="259" t="s">
        <v>26</v>
      </c>
      <c r="AJ62" s="236">
        <v>0</v>
      </c>
      <c r="AK62" s="236">
        <v>0</v>
      </c>
      <c r="AL62" s="236">
        <v>0</v>
      </c>
      <c r="AM62" s="236">
        <v>0</v>
      </c>
      <c r="AN62" s="232"/>
      <c r="AO62" s="237"/>
      <c r="AP62" s="237"/>
      <c r="AQ62" s="231"/>
      <c r="AR62" s="239"/>
      <c r="AS62" s="240"/>
      <c r="AT62" s="182"/>
      <c r="AU62" s="251"/>
      <c r="AV62" s="251"/>
      <c r="AW62" s="251"/>
      <c r="AX62" s="251"/>
      <c r="AY62" s="251"/>
      <c r="AZ62" s="251"/>
      <c r="BA62" s="251"/>
      <c r="BB62" s="251"/>
      <c r="BC62" s="251"/>
      <c r="BD62" s="251"/>
      <c r="BE62" s="251"/>
      <c r="BF62" s="251"/>
      <c r="BG62" s="251"/>
      <c r="BH62" s="251"/>
      <c r="BI62" s="251"/>
      <c r="BJ62" s="251"/>
      <c r="BK62" s="251"/>
      <c r="BL62" s="251"/>
      <c r="BM62" s="251"/>
      <c r="BN62" s="251"/>
      <c r="BO62" s="251"/>
      <c r="BP62" s="251"/>
      <c r="BQ62" s="251"/>
      <c r="BR62" s="251"/>
      <c r="BS62" s="251"/>
      <c r="BT62" s="251"/>
      <c r="BU62" s="251"/>
      <c r="BV62" s="251"/>
      <c r="BW62" s="251"/>
      <c r="BX62" s="251"/>
      <c r="BY62" s="251"/>
      <c r="BZ62" s="251"/>
    </row>
    <row r="63" spans="1:78" s="251" customFormat="1" ht="156.75" x14ac:dyDescent="0.2">
      <c r="A63" s="463"/>
      <c r="B63" s="464"/>
      <c r="C63" s="465"/>
      <c r="D63" s="466"/>
      <c r="E63" s="466"/>
      <c r="F63" s="494"/>
      <c r="G63" s="494"/>
      <c r="H63" s="494"/>
      <c r="I63" s="492"/>
      <c r="J63" s="492"/>
      <c r="K63" s="493"/>
      <c r="L63" s="490"/>
      <c r="M63" s="488"/>
      <c r="N63" s="489"/>
      <c r="O63" s="248">
        <f>IF(NOT(ISERROR(MATCH(N63,_xlfn.ANCHORARRAY(#REF!),0))),#REF!&amp;"Por favor no seleccionar los criterios de impacto",N63)</f>
        <v>0</v>
      </c>
      <c r="P63" s="490"/>
      <c r="Q63" s="488"/>
      <c r="R63" s="491"/>
      <c r="S63" s="235">
        <v>2</v>
      </c>
      <c r="T63" s="323" t="s">
        <v>925</v>
      </c>
      <c r="U63" s="305" t="s">
        <v>293</v>
      </c>
      <c r="V63" s="307" t="str">
        <f t="shared" si="121"/>
        <v>Probabilidad</v>
      </c>
      <c r="W63" s="259" t="s">
        <v>13</v>
      </c>
      <c r="X63" s="259" t="s">
        <v>8</v>
      </c>
      <c r="Y63" s="260" t="str">
        <f t="shared" si="110"/>
        <v>40%</v>
      </c>
      <c r="Z63" s="259" t="s">
        <v>18</v>
      </c>
      <c r="AA63" s="259" t="s">
        <v>21</v>
      </c>
      <c r="AB63" s="259" t="s">
        <v>103</v>
      </c>
      <c r="AC63" s="261">
        <f>IFERROR(IF(AND(V62="Probabilidad",V63="Probabilidad"),(AE62-(+AE62*Y63)),IF(V63="Probabilidad",(M62-(+M62*Y63)),IF(V63="Impacto",AE62,""))),"")</f>
        <v>0.16800000000000001</v>
      </c>
      <c r="AD63" s="262" t="str">
        <f>IFERROR(IF(AC63="","",IF(AC63&lt;=0.2,"Muy Baja",IF(AC63&lt;=0.4,"Baja",IF(AC63&lt;=0.6,"Media",IF(AC63&lt;=0.8,"Alta","Muy Alta"))))),"")</f>
        <v>Muy Baja</v>
      </c>
      <c r="AE63" s="260">
        <f t="shared" si="115"/>
        <v>0.16800000000000001</v>
      </c>
      <c r="AF63" s="262" t="str">
        <f t="shared" si="11"/>
        <v>Moderado</v>
      </c>
      <c r="AG63" s="260">
        <f>IFERROR(IF(AND(V62="Impacto",V63="Impacto"),(AG62-(+AG62*Y63)),IF(V63="Impacto",(#REF!-(+#REF!*Y63)),IF(V63="Probabilidad",AG62,""))),"")</f>
        <v>0.6</v>
      </c>
      <c r="AH63" s="264" t="str">
        <f t="shared" si="120"/>
        <v>Moderado</v>
      </c>
      <c r="AI63" s="259" t="s">
        <v>26</v>
      </c>
      <c r="AJ63" s="271">
        <v>11</v>
      </c>
      <c r="AK63" s="271">
        <v>3</v>
      </c>
      <c r="AL63" s="271">
        <v>4</v>
      </c>
      <c r="AM63" s="271">
        <v>4</v>
      </c>
      <c r="AN63" s="247"/>
      <c r="AO63" s="246"/>
      <c r="AP63" s="246"/>
      <c r="AQ63" s="245"/>
      <c r="AR63" s="238"/>
      <c r="AS63" s="246"/>
      <c r="AT63" s="182"/>
    </row>
    <row r="64" spans="1:78" s="252" customFormat="1" ht="147" customHeight="1" x14ac:dyDescent="0.2">
      <c r="A64" s="463" t="s">
        <v>712</v>
      </c>
      <c r="B64" s="464" t="s">
        <v>753</v>
      </c>
      <c r="C64" s="465" t="s">
        <v>609</v>
      </c>
      <c r="D64" s="466" t="s">
        <v>620</v>
      </c>
      <c r="E64" s="466" t="s">
        <v>109</v>
      </c>
      <c r="F64" s="467" t="s">
        <v>801</v>
      </c>
      <c r="G64" s="467" t="s">
        <v>852</v>
      </c>
      <c r="H64" s="467" t="s">
        <v>760</v>
      </c>
      <c r="I64" s="492" t="s">
        <v>654</v>
      </c>
      <c r="J64" s="492" t="s">
        <v>824</v>
      </c>
      <c r="K64" s="493">
        <v>1089</v>
      </c>
      <c r="L64" s="490" t="str">
        <f t="shared" ref="L64" si="122">IF(K64&lt;=0,"",IF(K64&lt;=2,"Muy Baja",IF(K64&lt;=24,"Baja",IF(K64&lt;=500,"Media",IF(K64&lt;=5000,"Alta","Muy Alta")))))</f>
        <v>Alta</v>
      </c>
      <c r="M64" s="488">
        <f>IF(L64="","",IF(L64="Muy Baja",0.2,IF(L64="Baja",0.4,IF(L64="Media",0.6,IF(L64="Alta",0.8,IF(L64="Muy Alta",1,))))))</f>
        <v>0.8</v>
      </c>
      <c r="N64" s="489" t="s">
        <v>121</v>
      </c>
      <c r="O64" s="248" t="str">
        <f>IF(NOT(ISERROR(MATCH(N64,'Tabla Impacto'!$B$221:$B$223,0))),'Tabla Impacto'!$F$223&amp;"Por favor no seleccionar los criterios de impacto(Afectación Económica o presupuestal y Pérdida Reputacional)",N64)</f>
        <v xml:space="preserve">     El riesgo afecta la imagen de la entidad con algunos usuarios de relevancia frente al logro de los objetivos</v>
      </c>
      <c r="P64" s="490" t="str">
        <f>IF(OR(O64='Tabla Impacto'!$C$11,O64='Tabla Impacto'!$D$11),"Leve",IF(OR(O64='Tabla Impacto'!$C$12,O64='Tabla Impacto'!$D$12),"Menor",IF(OR(O64='Tabla Impacto'!$C$13,O64='Tabla Impacto'!$D$13),"Moderado",IF(OR(O64='Tabla Impacto'!$C$14,O64='Tabla Impacto'!$D$14),"Mayor",IF(OR(O64='Tabla Impacto'!$C$15,O64='Tabla Impacto'!$D$15),"Catastrófico","")))))</f>
        <v>Moderado</v>
      </c>
      <c r="Q64" s="488">
        <f>IF(P64="","",IF(P64="Leve",0.2,IF(P64="Menor",0.4,IF(P64="Moderado",0.6,IF(P64="Mayor",0.8,IF(P64="Catastrófico",1,))))))</f>
        <v>0.6</v>
      </c>
      <c r="R64" s="491" t="str">
        <f>IF(OR(AND(L64="Muy Baja",P64="Leve"),AND(L64="Muy Baja",P64="Menor"),AND(L64="Baja",P64="Leve")),"Bajo",IF(OR(AND(L64="Muy baja",P64="Moderado"),AND(L64="Baja",P64="Menor"),AND(L64="Baja",P64="Moderado"),AND(L64="Media",P64="Leve"),AND(L64="Media",P64="Menor"),AND(L64="Media",P64="Moderado"),AND(L64="Alta",P64="Leve"),AND(L64="Alta",P64="Menor")),"Moderado",IF(OR(AND(L64="Muy Baja",P64="Mayor"),AND(L64="Baja",P64="Mayor"),AND(L64="Media",P64="Mayor"),AND(L64="Alta",P64="Moderado"),AND(L64="Alta",P64="Mayor"),AND(L64="Muy Alta",P64="Leve"),AND(L64="Muy Alta",P64="Menor"),AND(L64="Muy Alta",P64="Moderado"),AND(L64="Muy Alta",P64="Mayor")),"Alto",IF(OR(AND(L64="Muy Baja",P64="Catastrófico"),AND(L64="Baja",P64="Catastrófico"),AND(L64="Media",P64="Catastrófico"),AND(L64="Alta",P64="Catastrófico"),AND(L64="Muy Alta",P64="Catastrófico")),"Extremo",""))))</f>
        <v>Alto</v>
      </c>
      <c r="S64" s="235">
        <v>1</v>
      </c>
      <c r="T64" s="322" t="s">
        <v>1100</v>
      </c>
      <c r="U64" s="305" t="s">
        <v>293</v>
      </c>
      <c r="V64" s="307" t="str">
        <f t="shared" ref="V64:V71" si="123">IF(OR(W64="Preventivo",W64="Detectivo"),"Probabilidad",IF(W64="Correctivo","Impacto",""))</f>
        <v>Probabilidad</v>
      </c>
      <c r="W64" s="259" t="s">
        <v>13</v>
      </c>
      <c r="X64" s="259" t="s">
        <v>8</v>
      </c>
      <c r="Y64" s="260" t="str">
        <f t="shared" si="110"/>
        <v>40%</v>
      </c>
      <c r="Z64" s="259" t="s">
        <v>19</v>
      </c>
      <c r="AA64" s="259" t="s">
        <v>21</v>
      </c>
      <c r="AB64" s="259" t="s">
        <v>103</v>
      </c>
      <c r="AC64" s="261">
        <f t="shared" ref="AC64" si="124">IFERROR(IF(V64="Probabilidad",(M64-(+M64*Y64)),IF(V64="Impacto",M64,"")),"")</f>
        <v>0.48</v>
      </c>
      <c r="AD64" s="262" t="str">
        <f>IFERROR(IF(AC64="","",IF(AC64&lt;=0.2,"Muy Baja",IF(AC64&lt;=0.4,"Baja",IF(AC64&lt;=0.6,"Media",IF(AC64&lt;=0.8,"Alta","Muy Alta"))))),"")</f>
        <v>Media</v>
      </c>
      <c r="AE64" s="260">
        <f t="shared" si="115"/>
        <v>0.48</v>
      </c>
      <c r="AF64" s="262" t="str">
        <f t="shared" si="11"/>
        <v>Moderado</v>
      </c>
      <c r="AG64" s="260">
        <f>IFERROR(IF(V64="Impacto",(Q64-(+Q64*Y64)),IF(V64="Probabilidad",Q64,"")),"")</f>
        <v>0.6</v>
      </c>
      <c r="AH64" s="264" t="str">
        <f>IFERROR(IF(OR(AND(AD64="Muy Baja",AF64="Leve"),AND(AD64="Muy Baja",AF64="Menor"),AND(AD64="Baja",AF64="Leve")),"Bajo",IF(OR(AND(AD64="Muy baja",AF64="Moderado"),AND(AD64="Baja",AF64="Menor"),AND(AD64="Baja",AF64="Moderado"),AND(AD64="Media",AF64="Leve"),AND(AD64="Media",AF64="Menor"),AND(AD64="Media",AF64="Moderado"),AND(AD64="Alta",AF64="Leve"),AND(AD64="Alta",AF64="Menor")),"Moderado",IF(OR(AND(AD64="Muy Baja",AF64="Mayor"),AND(AD64="Baja",AF64="Mayor"),AND(AD64="Media",AF64="Mayor"),AND(AD64="Alta",AF64="Moderado"),AND(AD64="Alta",AF64="Mayor"),AND(AD64="Muy Alta",AF64="Leve"),AND(AD64="Muy Alta",AF64="Menor"),AND(AD64="Muy Alta",AF64="Moderado"),AND(AD64="Muy Alta",AF64="Mayor")),"Alto",IF(OR(AND(AD64="Muy Baja",AF64="Catastrófico"),AND(AD64="Baja",AF64="Catastrófico"),AND(AD64="Media",AF64="Catastrófico"),AND(AD64="Alta",AF64="Catastrófico"),AND(AD64="Muy Alta",AF64="Catastrófico")),"Extremo","")))),"")</f>
        <v>Moderado</v>
      </c>
      <c r="AI64" s="259" t="s">
        <v>26</v>
      </c>
      <c r="AJ64" s="236">
        <v>18</v>
      </c>
      <c r="AK64" s="236">
        <v>2</v>
      </c>
      <c r="AL64" s="236">
        <v>8</v>
      </c>
      <c r="AM64" s="236">
        <v>8</v>
      </c>
      <c r="AN64" s="232"/>
      <c r="AO64" s="237"/>
      <c r="AP64" s="237"/>
      <c r="AQ64" s="231"/>
      <c r="AR64" s="239"/>
      <c r="AS64" s="240"/>
      <c r="AT64" s="182"/>
      <c r="AU64" s="253"/>
      <c r="AV64" s="254"/>
      <c r="AW64" s="254"/>
      <c r="AX64" s="251"/>
      <c r="AY64" s="251"/>
      <c r="AZ64" s="251"/>
      <c r="BA64" s="251"/>
      <c r="BB64" s="251"/>
      <c r="BC64" s="251"/>
      <c r="BD64" s="251"/>
      <c r="BE64" s="251"/>
      <c r="BF64" s="251"/>
      <c r="BG64" s="251"/>
      <c r="BH64" s="251"/>
      <c r="BI64" s="251"/>
      <c r="BJ64" s="251"/>
      <c r="BK64" s="251"/>
      <c r="BL64" s="251"/>
      <c r="BM64" s="251"/>
      <c r="BN64" s="251"/>
      <c r="BO64" s="251"/>
      <c r="BP64" s="251"/>
      <c r="BQ64" s="251"/>
      <c r="BR64" s="251"/>
      <c r="BS64" s="251"/>
      <c r="BT64" s="251"/>
      <c r="BU64" s="251"/>
      <c r="BV64" s="251"/>
      <c r="BW64" s="251"/>
      <c r="BX64" s="251"/>
      <c r="BY64" s="251"/>
      <c r="BZ64" s="251"/>
    </row>
    <row r="65" spans="1:78" s="251" customFormat="1" ht="114" x14ac:dyDescent="0.2">
      <c r="A65" s="463"/>
      <c r="B65" s="464"/>
      <c r="C65" s="465"/>
      <c r="D65" s="466"/>
      <c r="E65" s="466"/>
      <c r="F65" s="467"/>
      <c r="G65" s="467"/>
      <c r="H65" s="467"/>
      <c r="I65" s="492"/>
      <c r="J65" s="492"/>
      <c r="K65" s="493"/>
      <c r="L65" s="490"/>
      <c r="M65" s="488"/>
      <c r="N65" s="489"/>
      <c r="O65" s="248">
        <f>IF(NOT(ISERROR(MATCH(N65,_xlfn.ANCHORARRAY(#REF!),0))),#REF!&amp;"Por favor no seleccionar los criterios de impacto",N65)</f>
        <v>0</v>
      </c>
      <c r="P65" s="490"/>
      <c r="Q65" s="488"/>
      <c r="R65" s="491"/>
      <c r="S65" s="235">
        <v>2</v>
      </c>
      <c r="T65" s="322" t="s">
        <v>1087</v>
      </c>
      <c r="U65" s="305" t="s">
        <v>293</v>
      </c>
      <c r="V65" s="307" t="str">
        <f t="shared" si="123"/>
        <v>Probabilidad</v>
      </c>
      <c r="W65" s="259" t="s">
        <v>13</v>
      </c>
      <c r="X65" s="259" t="s">
        <v>8</v>
      </c>
      <c r="Y65" s="260" t="str">
        <f t="shared" si="110"/>
        <v>40%</v>
      </c>
      <c r="Z65" s="259" t="s">
        <v>18</v>
      </c>
      <c r="AA65" s="259" t="s">
        <v>21</v>
      </c>
      <c r="AB65" s="259" t="s">
        <v>103</v>
      </c>
      <c r="AC65" s="261">
        <f t="shared" ref="AC65" si="125">IFERROR(IF(AND(V64="Probabilidad",V65="Probabilidad"),(AE64-(+AE64*Y65)),IF(V65="Probabilidad",(M64-(+M64*Y65)),IF(V65="Impacto",AE64,""))),"")</f>
        <v>0.28799999999999998</v>
      </c>
      <c r="AD65" s="262" t="str">
        <f t="shared" ref="AD65" si="126">IFERROR(IF(AC65="","",IF(AC65&lt;=0.2,"Muy Baja",IF(AC65&lt;=0.4,"Baja",IF(AC65&lt;=0.6,"Media",IF(AC65&lt;=0.8,"Alta","Muy Alta"))))),"")</f>
        <v>Baja</v>
      </c>
      <c r="AE65" s="260">
        <f t="shared" si="115"/>
        <v>0.28799999999999998</v>
      </c>
      <c r="AF65" s="262" t="str">
        <f t="shared" si="11"/>
        <v>Moderado</v>
      </c>
      <c r="AG65" s="260">
        <f>IFERROR(IF(AND(V64="Impacto",V65="Impacto"),(AG64-(+AG64*Y65)),IF(V65="Impacto",($Q$64-(+$Q$64*Y65)),IF(V65="Probabilidad",AG64,""))),"")</f>
        <v>0.6</v>
      </c>
      <c r="AH65" s="264" t="str">
        <f t="shared" ref="AH65" si="127">IFERROR(IF(OR(AND(AD65="Muy Baja",AF65="Leve"),AND(AD65="Muy Baja",AF65="Menor"),AND(AD65="Baja",AF65="Leve")),"Bajo",IF(OR(AND(AD65="Muy baja",AF65="Moderado"),AND(AD65="Baja",AF65="Menor"),AND(AD65="Baja",AF65="Moderado"),AND(AD65="Media",AF65="Leve"),AND(AD65="Media",AF65="Menor"),AND(AD65="Media",AF65="Moderado"),AND(AD65="Alta",AF65="Leve"),AND(AD65="Alta",AF65="Menor")),"Moderado",IF(OR(AND(AD65="Muy Baja",AF65="Mayor"),AND(AD65="Baja",AF65="Mayor"),AND(AD65="Media",AF65="Mayor"),AND(AD65="Alta",AF65="Moderado"),AND(AD65="Alta",AF65="Mayor"),AND(AD65="Muy Alta",AF65="Leve"),AND(AD65="Muy Alta",AF65="Menor"),AND(AD65="Muy Alta",AF65="Moderado"),AND(AD65="Muy Alta",AF65="Mayor")),"Alto",IF(OR(AND(AD65="Muy Baja",AF65="Catastrófico"),AND(AD65="Baja",AF65="Catastrófico"),AND(AD65="Media",AF65="Catastrófico"),AND(AD65="Alta",AF65="Catastrófico"),AND(AD65="Muy Alta",AF65="Catastrófico")),"Extremo","")))),"")</f>
        <v>Moderado</v>
      </c>
      <c r="AI65" s="259" t="s">
        <v>26</v>
      </c>
      <c r="AJ65" s="236">
        <v>0</v>
      </c>
      <c r="AK65" s="236">
        <v>0</v>
      </c>
      <c r="AL65" s="236">
        <v>0</v>
      </c>
      <c r="AM65" s="236">
        <v>0</v>
      </c>
      <c r="AN65" s="247"/>
      <c r="AO65" s="246"/>
      <c r="AP65" s="246"/>
      <c r="AQ65" s="245"/>
      <c r="AR65" s="238"/>
      <c r="AS65" s="246"/>
      <c r="AT65" s="182"/>
    </row>
    <row r="66" spans="1:78" s="252" customFormat="1" ht="216" customHeight="1" x14ac:dyDescent="0.2">
      <c r="A66" s="463" t="s">
        <v>942</v>
      </c>
      <c r="B66" s="464" t="s">
        <v>753</v>
      </c>
      <c r="C66" s="465" t="s">
        <v>610</v>
      </c>
      <c r="D66" s="466" t="s">
        <v>619</v>
      </c>
      <c r="E66" s="466" t="s">
        <v>109</v>
      </c>
      <c r="F66" s="494" t="s">
        <v>943</v>
      </c>
      <c r="G66" s="467" t="s">
        <v>944</v>
      </c>
      <c r="H66" s="494" t="s">
        <v>945</v>
      </c>
      <c r="I66" s="492" t="s">
        <v>654</v>
      </c>
      <c r="J66" s="492" t="s">
        <v>946</v>
      </c>
      <c r="K66" s="493">
        <v>10000</v>
      </c>
      <c r="L66" s="490" t="str">
        <f t="shared" ref="L66" si="128">IF(K66&lt;=0,"",IF(K66&lt;=2,"Muy Baja",IF(K66&lt;=24,"Baja",IF(K66&lt;=500,"Media",IF(K66&lt;=5000,"Alta","Muy Alta")))))</f>
        <v>Muy Alta</v>
      </c>
      <c r="M66" s="488">
        <f>IF(L66="","",IF(L66="Muy Baja",0.2,IF(L66="Baja",0.4,IF(L66="Media",0.6,IF(L66="Alta",0.8,IF(L66="Muy Alta",1,))))))</f>
        <v>1</v>
      </c>
      <c r="N66" s="489" t="s">
        <v>116</v>
      </c>
      <c r="O66" s="248" t="s">
        <v>116</v>
      </c>
      <c r="P66" s="490" t="s">
        <v>70</v>
      </c>
      <c r="Q66" s="488">
        <f>IF(P66="","",IF(P66="Leve",0.2,IF(P66="Menor",0.4,IF(P66="Moderado",0.6,IF(P66="Mayor",0.8,IF(P66="Catastrófico",1,))))))</f>
        <v>0.4</v>
      </c>
      <c r="R66" s="491" t="str">
        <f>IF(OR(AND(L66="Muy Baja",P66="Leve"),AND(L66="Muy Baja",P66="Menor"),AND(L66="Baja",P66="Leve")),"Bajo",IF(OR(AND(L66="Muy baja",P66="Moderado"),AND(L66="Baja",P66="Menor"),AND(L66="Baja",P66="Moderado"),AND(L66="Media",P66="Leve"),AND(L66="Media",P66="Menor"),AND(L66="Media",P66="Moderado"),AND(L66="Alta",P66="Leve"),AND(L66="Alta",P66="Menor")),"Moderado",IF(OR(AND(L66="Muy Baja",P66="Mayor"),AND(L66="Baja",P66="Mayor"),AND(L66="Media",P66="Mayor"),AND(L66="Alta",P66="Moderado"),AND(L66="Alta",P66="Mayor"),AND(L66="Muy Alta",P66="Leve"),AND(L66="Muy Alta",P66="Menor"),AND(L66="Muy Alta",P66="Moderado"),AND(L66="Muy Alta",P66="Mayor")),"Alto",IF(OR(AND(L66="Muy Baja",P66="Catastrófico"),AND(L66="Baja",P66="Catastrófico"),AND(L66="Media",P66="Catastrófico"),AND(L66="Alta",P66="Catastrófico"),AND(L66="Muy Alta",P66="Catastrófico")),"Extremo",""))))</f>
        <v>Alto</v>
      </c>
      <c r="S66" s="235">
        <v>1</v>
      </c>
      <c r="T66" s="324" t="s">
        <v>1088</v>
      </c>
      <c r="U66" s="245" t="s">
        <v>292</v>
      </c>
      <c r="V66" s="307" t="str">
        <f t="shared" si="123"/>
        <v>Probabilidad</v>
      </c>
      <c r="W66" s="259" t="s">
        <v>13</v>
      </c>
      <c r="X66" s="259" t="s">
        <v>8</v>
      </c>
      <c r="Y66" s="260" t="str">
        <f t="shared" si="110"/>
        <v>40%</v>
      </c>
      <c r="Z66" s="259" t="s">
        <v>18</v>
      </c>
      <c r="AA66" s="259" t="s">
        <v>21</v>
      </c>
      <c r="AB66" s="259" t="s">
        <v>103</v>
      </c>
      <c r="AC66" s="261">
        <f t="shared" ref="AC66" si="129">IFERROR(IF(V66="Probabilidad",(M66-(+M66*Y66)),IF(V66="Impacto",M66,"")),"")</f>
        <v>0.6</v>
      </c>
      <c r="AD66" s="262" t="str">
        <f>IFERROR(IF(AC66="","",IF(AC66&lt;=0.2,"Muy Baja",IF(AC66&lt;=0.4,"Baja",IF(AC66&lt;=0.6,"Media",IF(AC66&lt;=0.8,"Alta","Muy Alta"))))),"")</f>
        <v>Media</v>
      </c>
      <c r="AE66" s="260">
        <f t="shared" si="115"/>
        <v>0.6</v>
      </c>
      <c r="AF66" s="262" t="str">
        <f t="shared" si="11"/>
        <v>Menor</v>
      </c>
      <c r="AG66" s="260">
        <f>IFERROR(IF(V66="Impacto",(Q66-(+Q66*Y66)),IF(V66="Probabilidad",Q66,"")),"")</f>
        <v>0.4</v>
      </c>
      <c r="AH66" s="264" t="str">
        <f>IFERROR(IF(OR(AND(AD66="Muy Baja",AF66="Leve"),AND(AD66="Muy Baja",AF66="Menor"),AND(AD66="Baja",AF66="Leve")),"Bajo",IF(OR(AND(AD66="Muy baja",AF66="Moderado"),AND(AD66="Baja",AF66="Menor"),AND(AD66="Baja",AF66="Moderado"),AND(AD66="Media",AF66="Leve"),AND(AD66="Media",AF66="Menor"),AND(AD66="Media",AF66="Moderado"),AND(AD66="Alta",AF66="Leve"),AND(AD66="Alta",AF66="Menor")),"Moderado",IF(OR(AND(AD66="Muy Baja",AF66="Mayor"),AND(AD66="Baja",AF66="Mayor"),AND(AD66="Media",AF66="Mayor"),AND(AD66="Alta",AF66="Moderado"),AND(AD66="Alta",AF66="Mayor"),AND(AD66="Muy Alta",AF66="Leve"),AND(AD66="Muy Alta",AF66="Menor"),AND(AD66="Muy Alta",AF66="Moderado"),AND(AD66="Muy Alta",AF66="Mayor")),"Alto",IF(OR(AND(AD66="Muy Baja",AF66="Catastrófico"),AND(AD66="Baja",AF66="Catastrófico"),AND(AD66="Media",AF66="Catastrófico"),AND(AD66="Alta",AF66="Catastrófico"),AND(AD66="Muy Alta",AF66="Catastrófico")),"Extremo","")))),"")</f>
        <v>Moderado</v>
      </c>
      <c r="AI66" s="259" t="s">
        <v>26</v>
      </c>
      <c r="AJ66" s="236">
        <v>0</v>
      </c>
      <c r="AK66" s="236">
        <v>0</v>
      </c>
      <c r="AL66" s="236">
        <v>0</v>
      </c>
      <c r="AM66" s="236">
        <v>0</v>
      </c>
      <c r="AN66" s="232"/>
      <c r="AO66" s="237"/>
      <c r="AP66" s="237"/>
      <c r="AQ66" s="231"/>
      <c r="AR66" s="239"/>
      <c r="AS66" s="240"/>
      <c r="AT66" s="182"/>
      <c r="AU66" s="251"/>
      <c r="AV66" s="251"/>
      <c r="AW66" s="251"/>
      <c r="AX66" s="251"/>
      <c r="AY66" s="251"/>
      <c r="AZ66" s="251"/>
      <c r="BA66" s="251"/>
      <c r="BB66" s="251"/>
      <c r="BC66" s="251"/>
      <c r="BD66" s="251"/>
      <c r="BE66" s="251"/>
      <c r="BF66" s="251"/>
      <c r="BG66" s="251"/>
      <c r="BH66" s="251"/>
      <c r="BI66" s="251"/>
      <c r="BJ66" s="251"/>
      <c r="BK66" s="251"/>
      <c r="BL66" s="251"/>
      <c r="BM66" s="251"/>
      <c r="BN66" s="251"/>
      <c r="BO66" s="251"/>
      <c r="BP66" s="251"/>
      <c r="BQ66" s="251"/>
      <c r="BR66" s="251"/>
      <c r="BS66" s="251"/>
      <c r="BT66" s="251"/>
      <c r="BU66" s="251"/>
      <c r="BV66" s="251"/>
      <c r="BW66" s="251"/>
      <c r="BX66" s="251"/>
      <c r="BY66" s="251"/>
      <c r="BZ66" s="251"/>
    </row>
    <row r="67" spans="1:78" s="251" customFormat="1" ht="275.45" customHeight="1" x14ac:dyDescent="0.2">
      <c r="A67" s="463"/>
      <c r="B67" s="464"/>
      <c r="C67" s="465"/>
      <c r="D67" s="466"/>
      <c r="E67" s="466"/>
      <c r="F67" s="494"/>
      <c r="G67" s="467"/>
      <c r="H67" s="494"/>
      <c r="I67" s="492"/>
      <c r="J67" s="492"/>
      <c r="K67" s="493"/>
      <c r="L67" s="490"/>
      <c r="M67" s="488"/>
      <c r="N67" s="489"/>
      <c r="O67" s="248">
        <f>IF(NOT(ISERROR(MATCH(N67,_xlfn.ANCHORARRAY(#REF!),0))),#REF!&amp;"Por favor no seleccionar los criterios de impacto",N67)</f>
        <v>0</v>
      </c>
      <c r="P67" s="490"/>
      <c r="Q67" s="488"/>
      <c r="R67" s="491"/>
      <c r="S67" s="235">
        <v>2</v>
      </c>
      <c r="T67" s="306" t="s">
        <v>1089</v>
      </c>
      <c r="U67" s="245" t="s">
        <v>292</v>
      </c>
      <c r="V67" s="307" t="str">
        <f t="shared" si="123"/>
        <v>Probabilidad</v>
      </c>
      <c r="W67" s="259" t="s">
        <v>13</v>
      </c>
      <c r="X67" s="259" t="s">
        <v>8</v>
      </c>
      <c r="Y67" s="260" t="str">
        <f t="shared" si="110"/>
        <v>40%</v>
      </c>
      <c r="Z67" s="259" t="s">
        <v>18</v>
      </c>
      <c r="AA67" s="259" t="s">
        <v>21</v>
      </c>
      <c r="AB67" s="259" t="s">
        <v>103</v>
      </c>
      <c r="AC67" s="261">
        <f t="shared" ref="AC67" si="130">IFERROR(IF(AND(V66="Probabilidad",V67="Probabilidad"),(AE66-(+AE66*Y67)),IF(V67="Probabilidad",(M66-(+M66*Y67)),IF(V67="Impacto",AE66,""))),"")</f>
        <v>0.36</v>
      </c>
      <c r="AD67" s="262" t="str">
        <f t="shared" ref="AD67" si="131">IFERROR(IF(AC67="","",IF(AC67&lt;=0.2,"Muy Baja",IF(AC67&lt;=0.4,"Baja",IF(AC67&lt;=0.6,"Media",IF(AC67&lt;=0.8,"Alta","Muy Alta"))))),"")</f>
        <v>Baja</v>
      </c>
      <c r="AE67" s="260">
        <f t="shared" si="115"/>
        <v>0.36</v>
      </c>
      <c r="AF67" s="262" t="str">
        <f t="shared" si="11"/>
        <v>Menor</v>
      </c>
      <c r="AG67" s="260">
        <f>IFERROR(IF(AND(V66="Impacto",V67="Impacto"),(AG66-(+AG66*Y67)),IF(V67="Impacto",($Q$50-(+$Q$50*Y67)),IF(V67="Probabilidad",AG66,""))),"")</f>
        <v>0.4</v>
      </c>
      <c r="AH67" s="264" t="str">
        <f t="shared" ref="AH67" si="132">IFERROR(IF(OR(AND(AD67="Muy Baja",AF67="Leve"),AND(AD67="Muy Baja",AF67="Menor"),AND(AD67="Baja",AF67="Leve")),"Bajo",IF(OR(AND(AD67="Muy baja",AF67="Moderado"),AND(AD67="Baja",AF67="Menor"),AND(AD67="Baja",AF67="Moderado"),AND(AD67="Media",AF67="Leve"),AND(AD67="Media",AF67="Menor"),AND(AD67="Media",AF67="Moderado"),AND(AD67="Alta",AF67="Leve"),AND(AD67="Alta",AF67="Menor")),"Moderado",IF(OR(AND(AD67="Muy Baja",AF67="Mayor"),AND(AD67="Baja",AF67="Mayor"),AND(AD67="Media",AF67="Mayor"),AND(AD67="Alta",AF67="Moderado"),AND(AD67="Alta",AF67="Mayor"),AND(AD67="Muy Alta",AF67="Leve"),AND(AD67="Muy Alta",AF67="Menor"),AND(AD67="Muy Alta",AF67="Moderado"),AND(AD67="Muy Alta",AF67="Mayor")),"Alto",IF(OR(AND(AD67="Muy Baja",AF67="Catastrófico"),AND(AD67="Baja",AF67="Catastrófico"),AND(AD67="Media",AF67="Catastrófico"),AND(AD67="Alta",AF67="Catastrófico"),AND(AD67="Muy Alta",AF67="Catastrófico")),"Extremo","")))),"")</f>
        <v>Moderado</v>
      </c>
      <c r="AI67" s="259" t="s">
        <v>26</v>
      </c>
      <c r="AJ67" s="236">
        <v>4</v>
      </c>
      <c r="AK67" s="236">
        <v>1</v>
      </c>
      <c r="AL67" s="236">
        <v>1</v>
      </c>
      <c r="AM67" s="236">
        <v>2</v>
      </c>
      <c r="AN67" s="232"/>
      <c r="AO67" s="246"/>
      <c r="AP67" s="246"/>
      <c r="AQ67" s="245"/>
      <c r="AR67" s="238"/>
      <c r="AS67" s="246"/>
      <c r="AT67" s="182"/>
    </row>
    <row r="68" spans="1:78" s="252" customFormat="1" ht="193.5" customHeight="1" x14ac:dyDescent="0.2">
      <c r="A68" s="281" t="s">
        <v>680</v>
      </c>
      <c r="B68" s="282" t="s">
        <v>753</v>
      </c>
      <c r="C68" s="211" t="s">
        <v>288</v>
      </c>
      <c r="D68" s="244" t="s">
        <v>618</v>
      </c>
      <c r="E68" s="244" t="s">
        <v>109</v>
      </c>
      <c r="F68" s="306" t="s">
        <v>798</v>
      </c>
      <c r="G68" s="306" t="s">
        <v>673</v>
      </c>
      <c r="H68" s="306" t="s">
        <v>733</v>
      </c>
      <c r="I68" s="245" t="s">
        <v>654</v>
      </c>
      <c r="J68" s="245" t="s">
        <v>825</v>
      </c>
      <c r="K68" s="247">
        <v>1500</v>
      </c>
      <c r="L68" s="284" t="str">
        <f t="shared" ref="L68" si="133">IF(K68&lt;=0,"",IF(K68&lt;=2,"Muy Baja",IF(K68&lt;=24,"Baja",IF(K68&lt;=500,"Media",IF(K68&lt;=5000,"Alta","Muy Alta")))))</f>
        <v>Alta</v>
      </c>
      <c r="M68" s="248">
        <f>IF(L68="","",IF(L68="Muy Baja",0.2,IF(L68="Baja",0.4,IF(L68="Media",0.6,IF(L68="Alta",0.8,IF(L68="Muy Alta",1,))))))</f>
        <v>0.8</v>
      </c>
      <c r="N68" s="285" t="s">
        <v>117</v>
      </c>
      <c r="O68" s="248" t="str">
        <f>IF(NOT(ISERROR(MATCH(N68,'Tabla Impacto'!$B$221:$B$223,0))),'Tabla Impacto'!$F$223&amp;"Por favor no seleccionar los criterios de impacto(Afectación Económica o presupuestal y Pérdida Reputacional)",N68)</f>
        <v xml:space="preserve">     Entre 100 y 500 SMLMV </v>
      </c>
      <c r="P68" s="284" t="str">
        <f>IF(OR(O68='Tabla Impacto'!$C$11,O68='Tabla Impacto'!$D$11),"Leve",IF(OR(O68='Tabla Impacto'!$C$12,O68='Tabla Impacto'!$D$12),"Menor",IF(OR(O68='Tabla Impacto'!$C$13,O68='Tabla Impacto'!$D$13),"Moderado",IF(OR(O68='Tabla Impacto'!$C$14,O68='Tabla Impacto'!$D$14),"Mayor",IF(OR(O68='Tabla Impacto'!$C$15,O68='Tabla Impacto'!$D$15),"Catastrófico","")))))</f>
        <v>Mayor</v>
      </c>
      <c r="Q68" s="248">
        <f>IF(P68="","",IF(P68="Leve",0.2,IF(P68="Menor",0.4,IF(P68="Moderado",0.6,IF(P68="Mayor",0.8,IF(P68="Catastrófico",1,))))))</f>
        <v>0.8</v>
      </c>
      <c r="R68" s="280" t="str">
        <f>IF(OR(AND(L68="Muy Baja",P68="Leve"),AND(L68="Muy Baja",P68="Menor"),AND(L68="Baja",P68="Leve")),"Bajo",IF(OR(AND(L68="Muy baja",P68="Moderado"),AND(L68="Baja",P68="Menor"),AND(L68="Baja",P68="Moderado"),AND(L68="Media",P68="Leve"),AND(L68="Media",P68="Menor"),AND(L68="Media",P68="Moderado"),AND(L68="Alta",P68="Leve"),AND(L68="Alta",P68="Menor")),"Moderado",IF(OR(AND(L68="Muy Baja",P68="Mayor"),AND(L68="Baja",P68="Mayor"),AND(L68="Media",P68="Mayor"),AND(L68="Alta",P68="Moderado"),AND(L68="Alta",P68="Mayor"),AND(L68="Muy Alta",P68="Leve"),AND(L68="Muy Alta",P68="Menor"),AND(L68="Muy Alta",P68="Moderado"),AND(L68="Muy Alta",P68="Mayor")),"Alto",IF(OR(AND(L68="Muy Baja",P68="Catastrófico"),AND(L68="Baja",P68="Catastrófico"),AND(L68="Media",P68="Catastrófico"),AND(L68="Alta",P68="Catastrófico"),AND(L68="Muy Alta",P68="Catastrófico")),"Extremo",""))))</f>
        <v>Alto</v>
      </c>
      <c r="S68" s="235">
        <v>1</v>
      </c>
      <c r="T68" s="306" t="s">
        <v>851</v>
      </c>
      <c r="U68" s="245" t="s">
        <v>292</v>
      </c>
      <c r="V68" s="307" t="str">
        <f t="shared" si="123"/>
        <v>Probabilidad</v>
      </c>
      <c r="W68" s="259" t="s">
        <v>13</v>
      </c>
      <c r="X68" s="259" t="s">
        <v>8</v>
      </c>
      <c r="Y68" s="260" t="str">
        <f t="shared" ref="Y68" si="134">IF(AND(W68="Preventivo",X68="Automático"),"50%",IF(AND(W68="Preventivo",X68="Manual"),"40%",IF(AND(W68="Detectivo",X68="Automático"),"40%",IF(AND(W68="Detectivo",X68="Manual"),"30%",IF(AND(W68="Correctivo",X68="Automático"),"35%",IF(AND(W68="Correctivo",X68="Manual"),"25%",""))))))</f>
        <v>40%</v>
      </c>
      <c r="Z68" s="259" t="s">
        <v>19</v>
      </c>
      <c r="AA68" s="259" t="s">
        <v>21</v>
      </c>
      <c r="AB68" s="259" t="s">
        <v>103</v>
      </c>
      <c r="AC68" s="261">
        <f t="shared" ref="AC68" si="135">IFERROR(IF(V68="Probabilidad",(M68-(+M68*Y68)),IF(V68="Impacto",M68,"")),"")</f>
        <v>0.48</v>
      </c>
      <c r="AD68" s="262" t="str">
        <f>IFERROR(IF(AC68="","",IF(AC68&lt;=0.2,"Muy Baja",IF(AC68&lt;=0.4,"Baja",IF(AC68&lt;=0.6,"Media",IF(AC68&lt;=0.8,"Alta","Muy Alta"))))),"")</f>
        <v>Media</v>
      </c>
      <c r="AE68" s="260">
        <f t="shared" si="115"/>
        <v>0.48</v>
      </c>
      <c r="AF68" s="262" t="str">
        <f t="shared" si="11"/>
        <v>Mayor</v>
      </c>
      <c r="AG68" s="260">
        <f>IFERROR(IF(V68="Impacto",(Q68-(+Q68*Y68)),IF(V68="Probabilidad",Q68,"")),"")</f>
        <v>0.8</v>
      </c>
      <c r="AH68" s="264" t="str">
        <f>IFERROR(IF(OR(AND(AD68="Muy Baja",AF68="Leve"),AND(AD68="Muy Baja",AF68="Menor"),AND(AD68="Baja",AF68="Leve")),"Bajo",IF(OR(AND(AD68="Muy baja",AF68="Moderado"),AND(AD68="Baja",AF68="Menor"),AND(AD68="Baja",AF68="Moderado"),AND(AD68="Media",AF68="Leve"),AND(AD68="Media",AF68="Menor"),AND(AD68="Media",AF68="Moderado"),AND(AD68="Alta",AF68="Leve"),AND(AD68="Alta",AF68="Menor")),"Moderado",IF(OR(AND(AD68="Muy Baja",AF68="Mayor"),AND(AD68="Baja",AF68="Mayor"),AND(AD68="Media",AF68="Mayor"),AND(AD68="Alta",AF68="Moderado"),AND(AD68="Alta",AF68="Mayor"),AND(AD68="Muy Alta",AF68="Leve"),AND(AD68="Muy Alta",AF68="Menor"),AND(AD68="Muy Alta",AF68="Moderado"),AND(AD68="Muy Alta",AF68="Mayor")),"Alto",IF(OR(AND(AD68="Muy Baja",AF68="Catastrófico"),AND(AD68="Baja",AF68="Catastrófico"),AND(AD68="Media",AF68="Catastrófico"),AND(AD68="Alta",AF68="Catastrófico"),AND(AD68="Muy Alta",AF68="Catastrófico")),"Extremo","")))),"")</f>
        <v>Alto</v>
      </c>
      <c r="AI68" s="259" t="s">
        <v>26</v>
      </c>
      <c r="AJ68" s="235">
        <v>4</v>
      </c>
      <c r="AK68" s="235">
        <v>1</v>
      </c>
      <c r="AL68" s="235">
        <v>1</v>
      </c>
      <c r="AM68" s="235">
        <v>2</v>
      </c>
      <c r="AN68" s="235"/>
      <c r="AO68" s="237"/>
      <c r="AP68" s="237"/>
      <c r="AQ68" s="231"/>
      <c r="AR68" s="239"/>
      <c r="AS68" s="240"/>
      <c r="AT68" s="182"/>
      <c r="AU68" s="251"/>
      <c r="AV68" s="251"/>
      <c r="AW68" s="251"/>
      <c r="AX68" s="251"/>
      <c r="AY68" s="251"/>
      <c r="AZ68" s="251"/>
      <c r="BA68" s="251"/>
      <c r="BB68" s="251"/>
      <c r="BC68" s="251"/>
      <c r="BD68" s="251"/>
      <c r="BE68" s="251"/>
      <c r="BF68" s="251"/>
      <c r="BG68" s="251"/>
      <c r="BH68" s="251"/>
      <c r="BI68" s="251"/>
      <c r="BJ68" s="251"/>
      <c r="BK68" s="251"/>
      <c r="BL68" s="251"/>
      <c r="BM68" s="251"/>
      <c r="BN68" s="251"/>
      <c r="BO68" s="251"/>
      <c r="BP68" s="251"/>
      <c r="BQ68" s="251"/>
      <c r="BR68" s="251"/>
      <c r="BS68" s="251"/>
      <c r="BT68" s="251"/>
      <c r="BU68" s="251"/>
      <c r="BV68" s="251"/>
      <c r="BW68" s="251"/>
      <c r="BX68" s="251"/>
      <c r="BY68" s="251"/>
      <c r="BZ68" s="251"/>
    </row>
    <row r="69" spans="1:78" s="252" customFormat="1" ht="85.5" x14ac:dyDescent="0.2">
      <c r="A69" s="463" t="s">
        <v>677</v>
      </c>
      <c r="B69" s="464" t="s">
        <v>753</v>
      </c>
      <c r="C69" s="465" t="s">
        <v>611</v>
      </c>
      <c r="D69" s="466" t="s">
        <v>624</v>
      </c>
      <c r="E69" s="466" t="s">
        <v>109</v>
      </c>
      <c r="F69" s="467" t="s">
        <v>847</v>
      </c>
      <c r="G69" s="467" t="s">
        <v>673</v>
      </c>
      <c r="H69" s="467" t="s">
        <v>761</v>
      </c>
      <c r="I69" s="492" t="s">
        <v>660</v>
      </c>
      <c r="J69" s="492" t="s">
        <v>826</v>
      </c>
      <c r="K69" s="493">
        <v>365</v>
      </c>
      <c r="L69" s="490" t="str">
        <f t="shared" ref="L69" si="136">IF(K69&lt;=0,"",IF(K69&lt;=2,"Muy Baja",IF(K69&lt;=24,"Baja",IF(K69&lt;=500,"Media",IF(K69&lt;=5000,"Alta","Muy Alta")))))</f>
        <v>Media</v>
      </c>
      <c r="M69" s="488">
        <f>IF(L69="","",IF(L69="Muy Baja",0.2,IF(L69="Baja",0.4,IF(L69="Media",0.6,IF(L69="Alta",0.8,IF(L69="Muy Alta",1,))))))</f>
        <v>0.6</v>
      </c>
      <c r="N69" s="489" t="s">
        <v>112</v>
      </c>
      <c r="O69" s="488" t="str">
        <f>IF(NOT(ISERROR(MATCH(N69,'Tabla Impacto'!$B$221:$B$223,0))),'Tabla Impacto'!$F$223&amp;"Por favor no seleccionar los criterios de impacto(Afectación Económica o presupuestal y Pérdida Reputacional)",N69)</f>
        <v xml:space="preserve">     Afectación menor a 10 SMLMV .</v>
      </c>
      <c r="P69" s="490" t="str">
        <f>IF(OR(O69='Tabla Impacto'!$C$11,O69='Tabla Impacto'!$D$11),"Leve",IF(OR(O69='Tabla Impacto'!$C$12,O69='Tabla Impacto'!$D$12),"Menor",IF(OR(O69='Tabla Impacto'!$C$13,O69='Tabla Impacto'!$D$13),"Moderado",IF(OR(O69='Tabla Impacto'!$C$14,O69='Tabla Impacto'!$D$14),"Mayor",IF(OR(O69='Tabla Impacto'!$C$15,O69='Tabla Impacto'!$D$15),"Catastrófico","")))))</f>
        <v>Leve</v>
      </c>
      <c r="Q69" s="488">
        <f>IF(P69="","",IF(P69="Leve",0.2,IF(P69="Menor",0.4,IF(P69="Moderado",0.6,IF(P69="Mayor",0.8,IF(P69="Catastrófico",1,))))))</f>
        <v>0.2</v>
      </c>
      <c r="R69" s="491" t="str">
        <f>IF(OR(AND(L69="Muy Baja",P69="Leve"),AND(L69="Muy Baja",P69="Menor"),AND(L69="Baja",P69="Leve")),"Bajo",IF(OR(AND(L69="Muy baja",P69="Moderado"),AND(L69="Baja",P69="Menor"),AND(L69="Baja",P69="Moderado"),AND(L69="Media",P69="Leve"),AND(L69="Media",P69="Menor"),AND(L69="Media",P69="Moderado"),AND(L69="Alta",P69="Leve"),AND(L69="Alta",P69="Menor")),"Moderado",IF(OR(AND(L69="Muy Baja",P69="Mayor"),AND(L69="Baja",P69="Mayor"),AND(L69="Media",P69="Mayor"),AND(L69="Alta",P69="Moderado"),AND(L69="Alta",P69="Mayor"),AND(L69="Muy Alta",P69="Leve"),AND(L69="Muy Alta",P69="Menor"),AND(L69="Muy Alta",P69="Moderado"),AND(L69="Muy Alta",P69="Mayor")),"Alto",IF(OR(AND(L69="Muy Baja",P69="Catastrófico"),AND(L69="Baja",P69="Catastrófico"),AND(L69="Media",P69="Catastrófico"),AND(L69="Alta",P69="Catastrófico"),AND(L69="Muy Alta",P69="Catastrófico")),"Extremo",""))))</f>
        <v>Moderado</v>
      </c>
      <c r="S69" s="235">
        <v>1</v>
      </c>
      <c r="T69" s="322" t="s">
        <v>1090</v>
      </c>
      <c r="U69" s="305" t="s">
        <v>293</v>
      </c>
      <c r="V69" s="307" t="str">
        <f t="shared" si="123"/>
        <v>Probabilidad</v>
      </c>
      <c r="W69" s="259" t="s">
        <v>13</v>
      </c>
      <c r="X69" s="259" t="s">
        <v>8</v>
      </c>
      <c r="Y69" s="260" t="str">
        <f t="shared" ref="Y69:Y71" si="137">IF(AND(W69="Preventivo",X69="Automático"),"50%",IF(AND(W69="Preventivo",X69="Manual"),"40%",IF(AND(W69="Detectivo",X69="Automático"),"40%",IF(AND(W69="Detectivo",X69="Manual"),"30%",IF(AND(W69="Correctivo",X69="Automático"),"35%",IF(AND(W69="Correctivo",X69="Manual"),"25%",""))))))</f>
        <v>40%</v>
      </c>
      <c r="Z69" s="259" t="s">
        <v>18</v>
      </c>
      <c r="AA69" s="259" t="s">
        <v>21</v>
      </c>
      <c r="AB69" s="259" t="s">
        <v>103</v>
      </c>
      <c r="AC69" s="261">
        <f>IFERROR(IF(V69="Probabilidad",(M69-(+M69*Y69)),IF(V69="Impacto",M69,"")),"")</f>
        <v>0.36</v>
      </c>
      <c r="AD69" s="262" t="str">
        <f>IFERROR(IF(AC69="","",IF(AC69&lt;=0.2,"Muy Baja",IF(AC69&lt;=0.4,"Baja",IF(AC69&lt;=0.6,"Media",IF(AC69&lt;=0.8,"Alta","Muy Alta"))))),"")</f>
        <v>Baja</v>
      </c>
      <c r="AE69" s="260">
        <f t="shared" si="115"/>
        <v>0.36</v>
      </c>
      <c r="AF69" s="262" t="str">
        <f t="shared" si="11"/>
        <v>Leve</v>
      </c>
      <c r="AG69" s="265">
        <f>IFERROR(IF(V69="Impacto",(Q69-(+Q69*Y69)),IF(V69="Probabilidad",Q69,"")),"")</f>
        <v>0.2</v>
      </c>
      <c r="AH69" s="264" t="str">
        <f>IFERROR(IF(OR(AND(AD69="Muy Baja",AF69="Leve"),AND(AD69="Muy Baja",AF69="Menor"),AND(AD69="Baja",AF69="Leve")),"Bajo",IF(OR(AND(AD69="Muy baja",AF69="Moderado"),AND(AD69="Baja",AF69="Menor"),AND(AD69="Baja",AF69="Moderado"),AND(AD69="Media",AF69="Leve"),AND(AD69="Media",AF69="Menor"),AND(AD69="Media",AF69="Moderado"),AND(AD69="Alta",AF69="Leve"),AND(AD69="Alta",AF69="Menor")),"Moderado",IF(OR(AND(AD69="Muy Baja",AF69="Mayor"),AND(AD69="Baja",AF69="Mayor"),AND(AD69="Media",AF69="Mayor"),AND(AD69="Alta",AF69="Moderado"),AND(AD69="Alta",AF69="Mayor"),AND(AD69="Muy Alta",AF69="Leve"),AND(AD69="Muy Alta",AF69="Menor"),AND(AD69="Muy Alta",AF69="Moderado"),AND(AD69="Muy Alta",AF69="Mayor")),"Alto",IF(OR(AND(AD69="Muy Baja",AF69="Catastrófico"),AND(AD69="Baja",AF69="Catastrófico"),AND(AD69="Media",AF69="Catastrófico"),AND(AD69="Alta",AF69="Catastrófico"),AND(AD69="Muy Alta",AF69="Catastrófico")),"Extremo","")))),"")</f>
        <v>Bajo</v>
      </c>
      <c r="AI69" s="259" t="s">
        <v>27</v>
      </c>
      <c r="AJ69" s="235">
        <v>12</v>
      </c>
      <c r="AK69" s="235">
        <v>4</v>
      </c>
      <c r="AL69" s="235">
        <v>4</v>
      </c>
      <c r="AM69" s="235">
        <v>4</v>
      </c>
      <c r="AN69" s="235"/>
      <c r="AO69" s="231"/>
      <c r="AP69" s="231"/>
      <c r="AQ69" s="232"/>
      <c r="AR69" s="233"/>
      <c r="AS69" s="233"/>
      <c r="AT69" s="182"/>
      <c r="AU69" s="251"/>
      <c r="AV69" s="251"/>
      <c r="AW69" s="251"/>
      <c r="AX69" s="251"/>
      <c r="AY69" s="251"/>
      <c r="AZ69" s="251"/>
      <c r="BA69" s="251"/>
      <c r="BB69" s="251"/>
      <c r="BC69" s="251"/>
      <c r="BD69" s="251"/>
      <c r="BE69" s="251"/>
      <c r="BF69" s="251"/>
      <c r="BG69" s="251"/>
      <c r="BH69" s="251"/>
      <c r="BI69" s="251"/>
      <c r="BJ69" s="251"/>
      <c r="BK69" s="251"/>
      <c r="BL69" s="251"/>
      <c r="BM69" s="251"/>
      <c r="BN69" s="251"/>
      <c r="BO69" s="251"/>
      <c r="BP69" s="251"/>
      <c r="BQ69" s="251"/>
      <c r="BR69" s="251"/>
      <c r="BS69" s="251"/>
      <c r="BT69" s="251"/>
      <c r="BU69" s="251"/>
      <c r="BV69" s="251"/>
      <c r="BW69" s="251"/>
      <c r="BX69" s="251"/>
      <c r="BY69" s="251"/>
      <c r="BZ69" s="251"/>
    </row>
    <row r="70" spans="1:78" s="251" customFormat="1" ht="236.45" customHeight="1" x14ac:dyDescent="0.2">
      <c r="A70" s="463"/>
      <c r="B70" s="464"/>
      <c r="C70" s="465"/>
      <c r="D70" s="466"/>
      <c r="E70" s="466"/>
      <c r="F70" s="467"/>
      <c r="G70" s="467"/>
      <c r="H70" s="467"/>
      <c r="I70" s="492"/>
      <c r="J70" s="492"/>
      <c r="K70" s="493"/>
      <c r="L70" s="490"/>
      <c r="M70" s="488"/>
      <c r="N70" s="489"/>
      <c r="O70" s="488">
        <f>IF(NOT(ISERROR(MATCH(N70,_xlfn.ANCHORARRAY(H75),0))),#REF!&amp;"Por favor no seleccionar los criterios de impacto",N70)</f>
        <v>0</v>
      </c>
      <c r="P70" s="490"/>
      <c r="Q70" s="488"/>
      <c r="R70" s="491"/>
      <c r="S70" s="235">
        <v>2</v>
      </c>
      <c r="T70" s="306" t="s">
        <v>1091</v>
      </c>
      <c r="U70" s="245" t="s">
        <v>292</v>
      </c>
      <c r="V70" s="307" t="str">
        <f t="shared" si="123"/>
        <v>Probabilidad</v>
      </c>
      <c r="W70" s="259" t="s">
        <v>13</v>
      </c>
      <c r="X70" s="259" t="s">
        <v>8</v>
      </c>
      <c r="Y70" s="260" t="str">
        <f t="shared" si="137"/>
        <v>40%</v>
      </c>
      <c r="Z70" s="259" t="s">
        <v>18</v>
      </c>
      <c r="AA70" s="259" t="s">
        <v>21</v>
      </c>
      <c r="AB70" s="259" t="s">
        <v>103</v>
      </c>
      <c r="AC70" s="261">
        <f t="shared" ref="AC70" si="138">IFERROR(IF(AND(V69="Probabilidad",V70="Probabilidad"),(AE69-(+AE69*Y70)),IF(V70="Probabilidad",(M69-(+M69*Y70)),IF(V70="Impacto",AE69,""))),"")</f>
        <v>0.216</v>
      </c>
      <c r="AD70" s="262" t="str">
        <f>IFERROR(IF(AC70="","",IF(AC70&lt;=0.2,"Muy Baja",IF(AC70&lt;=0.4,"Baja",IF(AC70&lt;=0.6,"Media",IF(AC70&lt;=0.8,"Alta","Muy Alta"))))),"")</f>
        <v>Baja</v>
      </c>
      <c r="AE70" s="260">
        <f t="shared" ref="AE70:AE71" si="139">+AC70</f>
        <v>0.216</v>
      </c>
      <c r="AF70" s="262" t="str">
        <f t="shared" si="11"/>
        <v>Leve</v>
      </c>
      <c r="AG70" s="260">
        <f>IFERROR(IF(AND(V69="Impacto",V70="Impacto"),(AG69-(+AG69*Y70)),IF(V70="Impacto",($Q$69-(+$Q$69*Y70)),IF(V70="Probabilidad",AG69,""))),"")</f>
        <v>0.2</v>
      </c>
      <c r="AH70" s="264" t="str">
        <f t="shared" ref="AH70:AH71" si="140">IFERROR(IF(OR(AND(AD70="Muy Baja",AF70="Leve"),AND(AD70="Muy Baja",AF70="Menor"),AND(AD70="Baja",AF70="Leve")),"Bajo",IF(OR(AND(AD70="Muy baja",AF70="Moderado"),AND(AD70="Baja",AF70="Menor"),AND(AD70="Baja",AF70="Moderado"),AND(AD70="Media",AF70="Leve"),AND(AD70="Media",AF70="Menor"),AND(AD70="Media",AF70="Moderado"),AND(AD70="Alta",AF70="Leve"),AND(AD70="Alta",AF70="Menor")),"Moderado",IF(OR(AND(AD70="Muy Baja",AF70="Mayor"),AND(AD70="Baja",AF70="Mayor"),AND(AD70="Media",AF70="Mayor"),AND(AD70="Alta",AF70="Moderado"),AND(AD70="Alta",AF70="Mayor"),AND(AD70="Muy Alta",AF70="Leve"),AND(AD70="Muy Alta",AF70="Menor"),AND(AD70="Muy Alta",AF70="Moderado"),AND(AD70="Muy Alta",AF70="Mayor")),"Alto",IF(OR(AND(AD70="Muy Baja",AF70="Catastrófico"),AND(AD70="Baja",AF70="Catastrófico"),AND(AD70="Media",AF70="Catastrófico"),AND(AD70="Alta",AF70="Catastrófico"),AND(AD70="Muy Alta",AF70="Catastrófico")),"Extremo","")))),"")</f>
        <v>Bajo</v>
      </c>
      <c r="AI70" s="259" t="s">
        <v>27</v>
      </c>
      <c r="AJ70" s="235">
        <v>4</v>
      </c>
      <c r="AK70" s="235">
        <v>1</v>
      </c>
      <c r="AL70" s="235">
        <v>1</v>
      </c>
      <c r="AM70" s="235">
        <v>2</v>
      </c>
      <c r="AN70" s="235"/>
      <c r="AO70" s="245"/>
      <c r="AP70" s="245"/>
      <c r="AQ70" s="247"/>
      <c r="AR70" s="206"/>
      <c r="AS70" s="206"/>
      <c r="AT70" s="182"/>
    </row>
    <row r="71" spans="1:78" s="251" customFormat="1" ht="104.25" customHeight="1" x14ac:dyDescent="0.2">
      <c r="A71" s="463"/>
      <c r="B71" s="464"/>
      <c r="C71" s="465"/>
      <c r="D71" s="466"/>
      <c r="E71" s="466"/>
      <c r="F71" s="467"/>
      <c r="G71" s="467"/>
      <c r="H71" s="467"/>
      <c r="I71" s="492"/>
      <c r="J71" s="492"/>
      <c r="K71" s="493"/>
      <c r="L71" s="490"/>
      <c r="M71" s="488"/>
      <c r="N71" s="489"/>
      <c r="O71" s="488">
        <f>IF(NOT(ISERROR(MATCH(N71,_xlfn.ANCHORARRAY(#REF!),0))),#REF!&amp;"Por favor no seleccionar los criterios de impacto",N71)</f>
        <v>0</v>
      </c>
      <c r="P71" s="490"/>
      <c r="Q71" s="488"/>
      <c r="R71" s="491"/>
      <c r="S71" s="235">
        <v>3</v>
      </c>
      <c r="T71" s="306" t="s">
        <v>1092</v>
      </c>
      <c r="U71" s="245" t="s">
        <v>292</v>
      </c>
      <c r="V71" s="307" t="str">
        <f t="shared" si="123"/>
        <v>Probabilidad</v>
      </c>
      <c r="W71" s="259" t="s">
        <v>13</v>
      </c>
      <c r="X71" s="259" t="s">
        <v>8</v>
      </c>
      <c r="Y71" s="260" t="str">
        <f t="shared" si="137"/>
        <v>40%</v>
      </c>
      <c r="Z71" s="259" t="s">
        <v>18</v>
      </c>
      <c r="AA71" s="259" t="s">
        <v>21</v>
      </c>
      <c r="AB71" s="259" t="s">
        <v>103</v>
      </c>
      <c r="AC71" s="261">
        <f t="shared" ref="AC71" si="141">IFERROR(IF(AND(V70="Probabilidad",V71="Probabilidad"),(AE70-(+AE70*Y71)),IF(AND(V70="Impacto",V71="Probabilidad"),(AE69-(+AE69*Y71)),IF(V71="Impacto",AE70,""))),"")</f>
        <v>0.12959999999999999</v>
      </c>
      <c r="AD71" s="262" t="str">
        <f>IFERROR(IF(AC71="","",IF(AC71&lt;=0.2,"Muy Baja",IF(AC71&lt;=0.4,"Baja",IF(AC71&lt;=0.6,"Media",IF(AC71&lt;=0.8,"Alta","Muy Alta"))))),"")</f>
        <v>Muy Baja</v>
      </c>
      <c r="AE71" s="260">
        <f t="shared" si="139"/>
        <v>0.12959999999999999</v>
      </c>
      <c r="AF71" s="262" t="str">
        <f t="shared" si="11"/>
        <v>Leve</v>
      </c>
      <c r="AG71" s="260">
        <f>IFERROR(IF(AND(V70="Impacto",V71="Impacto"),(AG70-(+AG70*Y71)),IF(V71="Impacto",($Q$69-(+$Q$69*Y71)),IF(V71="Probabilidad",AG70,""))),"")</f>
        <v>0.2</v>
      </c>
      <c r="AH71" s="264" t="str">
        <f t="shared" si="140"/>
        <v>Bajo</v>
      </c>
      <c r="AI71" s="259" t="s">
        <v>27</v>
      </c>
      <c r="AJ71" s="235">
        <v>12</v>
      </c>
      <c r="AK71" s="235">
        <v>4</v>
      </c>
      <c r="AL71" s="235">
        <v>4</v>
      </c>
      <c r="AM71" s="235">
        <v>4</v>
      </c>
      <c r="AN71" s="235"/>
      <c r="AO71" s="245"/>
      <c r="AP71" s="245"/>
      <c r="AQ71" s="247"/>
      <c r="AR71" s="206"/>
      <c r="AS71" s="206"/>
      <c r="AT71" s="182"/>
    </row>
    <row r="72" spans="1:78" s="252" customFormat="1" ht="73.5" customHeight="1" x14ac:dyDescent="0.2">
      <c r="A72" s="463" t="s">
        <v>714</v>
      </c>
      <c r="B72" s="464" t="s">
        <v>753</v>
      </c>
      <c r="C72" s="465" t="s">
        <v>281</v>
      </c>
      <c r="D72" s="466" t="s">
        <v>621</v>
      </c>
      <c r="E72" s="466" t="s">
        <v>107</v>
      </c>
      <c r="F72" s="467" t="s">
        <v>730</v>
      </c>
      <c r="G72" s="467" t="s">
        <v>673</v>
      </c>
      <c r="H72" s="467" t="s">
        <v>763</v>
      </c>
      <c r="I72" s="492" t="s">
        <v>654</v>
      </c>
      <c r="J72" s="492" t="s">
        <v>827</v>
      </c>
      <c r="K72" s="493">
        <v>100</v>
      </c>
      <c r="L72" s="490" t="str">
        <f t="shared" ref="L72" si="142">IF(K72&lt;=0,"",IF(K72&lt;=2,"Muy Baja",IF(K72&lt;=24,"Baja",IF(K72&lt;=500,"Media",IF(K72&lt;=5000,"Alta","Muy Alta")))))</f>
        <v>Media</v>
      </c>
      <c r="M72" s="488">
        <f>IF(L72="","",IF(L72="Muy Baja",0.2,IF(L72="Baja",0.4,IF(L72="Media",0.6,IF(L72="Alta",0.8,IF(L72="Muy Alta",1,))))))</f>
        <v>0.6</v>
      </c>
      <c r="N72" s="489" t="s">
        <v>123</v>
      </c>
      <c r="O72" s="248" t="str">
        <f>IF(NOT(ISERROR(MATCH(N72,'Tabla Impacto'!$B$221:$B$223,0))),'Tabla Impacto'!$F$223&amp;"Por favor no seleccionar los criterios de impacto(Afectación Económica o presupuestal y Pérdida Reputacional)",N72)</f>
        <v xml:space="preserve">     El riesgo afecta la imagen de la entidad a nivel nacional, con efecto publicitarios sostenible a nivel país</v>
      </c>
      <c r="P72" s="490" t="str">
        <f>IF(OR(O72='Tabla Impacto'!$C$11,O72='Tabla Impacto'!$D$11),"Leve",IF(OR(O72='Tabla Impacto'!$C$12,O72='Tabla Impacto'!$D$12),"Menor",IF(OR(O72='Tabla Impacto'!$C$13,O72='Tabla Impacto'!$D$13),"Moderado",IF(OR(O72='Tabla Impacto'!$C$14,O72='Tabla Impacto'!$D$14),"Mayor",IF(OR(O72='Tabla Impacto'!$C$15,O72='Tabla Impacto'!$D$15),"Catastrófico","")))))</f>
        <v>Catastrófico</v>
      </c>
      <c r="Q72" s="488">
        <f>IF(P72="","",IF(P72="Leve",0.2,IF(P72="Menor",0.4,IF(P72="Moderado",0.6,IF(P72="Mayor",0.8,IF(P72="Catastrófico",1,))))))</f>
        <v>1</v>
      </c>
      <c r="R72" s="491" t="str">
        <f>IF(OR(AND(L72="Muy Baja",P72="Leve"),AND(L72="Muy Baja",P72="Menor"),AND(L72="Baja",P72="Leve")),"Bajo",IF(OR(AND(L72="Muy baja",P72="Moderado"),AND(L72="Baja",P72="Menor"),AND(L72="Baja",P72="Moderado"),AND(L72="Media",P72="Leve"),AND(L72="Media",P72="Menor"),AND(L72="Media",P72="Moderado"),AND(L72="Alta",P72="Leve"),AND(L72="Alta",P72="Menor")),"Moderado",IF(OR(AND(L72="Muy Baja",P72="Mayor"),AND(L72="Baja",P72="Mayor"),AND(L72="Media",P72="Mayor"),AND(L72="Alta",P72="Moderado"),AND(L72="Alta",P72="Mayor"),AND(L72="Muy Alta",P72="Leve"),AND(L72="Muy Alta",P72="Menor"),AND(L72="Muy Alta",P72="Moderado"),AND(L72="Muy Alta",P72="Mayor")),"Alto",IF(OR(AND(L72="Muy Baja",P72="Catastrófico"),AND(L72="Baja",P72="Catastrófico"),AND(L72="Media",P72="Catastrófico"),AND(L72="Alta",P72="Catastrófico"),AND(L72="Muy Alta",P72="Catastrófico")),"Extremo",""))))</f>
        <v>Extremo</v>
      </c>
      <c r="S72" s="235">
        <v>1</v>
      </c>
      <c r="T72" s="322" t="s">
        <v>1093</v>
      </c>
      <c r="U72" s="305" t="s">
        <v>293</v>
      </c>
      <c r="V72" s="307" t="str">
        <f>IF(OR(W72="Preventivo",W72="Detectivo"),"Probabilidad",IF(W72="Correctivo","Impacto",""))</f>
        <v>Probabilidad</v>
      </c>
      <c r="W72" s="259" t="s">
        <v>13</v>
      </c>
      <c r="X72" s="259" t="s">
        <v>8</v>
      </c>
      <c r="Y72" s="260" t="str">
        <f t="shared" ref="Y72:Y73" si="143">IF(AND(W72="Preventivo",X72="Automático"),"50%",IF(AND(W72="Preventivo",X72="Manual"),"40%",IF(AND(W72="Detectivo",X72="Automático"),"40%",IF(AND(W72="Detectivo",X72="Manual"),"30%",IF(AND(W72="Correctivo",X72="Automático"),"35%",IF(AND(W72="Correctivo",X72="Manual"),"25%",""))))))</f>
        <v>40%</v>
      </c>
      <c r="Z72" s="259" t="s">
        <v>19</v>
      </c>
      <c r="AA72" s="259" t="s">
        <v>22</v>
      </c>
      <c r="AB72" s="259" t="s">
        <v>103</v>
      </c>
      <c r="AC72" s="261">
        <f t="shared" ref="AC72" si="144">IFERROR(IF(V72="Probabilidad",(M72-(+M72*Y72)),IF(V72="Impacto",M72,"")),"")</f>
        <v>0.36</v>
      </c>
      <c r="AD72" s="262" t="str">
        <f>IFERROR(IF(AC72="","",IF(AC72&lt;=0.2,"Muy Baja",IF(AC72&lt;=0.4,"Baja",IF(AC72&lt;=0.6,"Media",IF(AC72&lt;=0.8,"Alta","Muy Alta"))))),"")</f>
        <v>Baja</v>
      </c>
      <c r="AE72" s="260">
        <f>+AC72</f>
        <v>0.36</v>
      </c>
      <c r="AF72" s="262" t="str">
        <f t="shared" si="11"/>
        <v>Catastrófico</v>
      </c>
      <c r="AG72" s="260">
        <f>IFERROR(IF(V72="Impacto",(Q72-(+Q72*Y72)),IF(V72="Probabilidad",Q72,"")),"")</f>
        <v>1</v>
      </c>
      <c r="AH72" s="264" t="str">
        <f>IFERROR(IF(OR(AND(AD72="Muy Baja",AF72="Leve"),AND(AD72="Muy Baja",AF72="Menor"),AND(AD72="Baja",AF72="Leve")),"Bajo",IF(OR(AND(AD72="Muy baja",AF72="Moderado"),AND(AD72="Baja",AF72="Menor"),AND(AD72="Baja",AF72="Moderado"),AND(AD72="Media",AF72="Leve"),AND(AD72="Media",AF72="Menor"),AND(AD72="Media",AF72="Moderado"),AND(AD72="Alta",AF72="Leve"),AND(AD72="Alta",AF72="Menor")),"Moderado",IF(OR(AND(AD72="Muy Baja",AF72="Mayor"),AND(AD72="Baja",AF72="Mayor"),AND(AD72="Media",AF72="Mayor"),AND(AD72="Alta",AF72="Moderado"),AND(AD72="Alta",AF72="Mayor"),AND(AD72="Muy Alta",AF72="Leve"),AND(AD72="Muy Alta",AF72="Menor"),AND(AD72="Muy Alta",AF72="Moderado"),AND(AD72="Muy Alta",AF72="Mayor")),"Alto",IF(OR(AND(AD72="Muy Baja",AF72="Catastrófico"),AND(AD72="Baja",AF72="Catastrófico"),AND(AD72="Media",AF72="Catastrófico"),AND(AD72="Alta",AF72="Catastrófico"),AND(AD72="Muy Alta",AF72="Catastrófico")),"Extremo","")))),"")</f>
        <v>Extremo</v>
      </c>
      <c r="AI72" s="259" t="s">
        <v>26</v>
      </c>
      <c r="AJ72" s="266">
        <v>2</v>
      </c>
      <c r="AK72" s="236">
        <v>1</v>
      </c>
      <c r="AL72" s="236">
        <v>1</v>
      </c>
      <c r="AM72" s="236">
        <v>0</v>
      </c>
      <c r="AN72" s="232"/>
      <c r="AO72" s="237"/>
      <c r="AP72" s="237"/>
      <c r="AQ72" s="231"/>
      <c r="AR72" s="239"/>
      <c r="AS72" s="240"/>
      <c r="AT72" s="182"/>
      <c r="AU72" s="251"/>
      <c r="AV72" s="251"/>
      <c r="AW72" s="251"/>
      <c r="AX72" s="251"/>
      <c r="AY72" s="251"/>
      <c r="AZ72" s="251"/>
      <c r="BA72" s="251"/>
      <c r="BB72" s="251"/>
      <c r="BC72" s="251"/>
      <c r="BD72" s="251"/>
      <c r="BE72" s="251"/>
      <c r="BF72" s="251"/>
      <c r="BG72" s="251"/>
      <c r="BH72" s="251"/>
      <c r="BI72" s="251"/>
      <c r="BJ72" s="251"/>
      <c r="BK72" s="251"/>
      <c r="BL72" s="251"/>
      <c r="BM72" s="251"/>
      <c r="BN72" s="251"/>
      <c r="BO72" s="251"/>
      <c r="BP72" s="251"/>
      <c r="BQ72" s="251"/>
      <c r="BR72" s="251"/>
      <c r="BS72" s="251"/>
      <c r="BT72" s="251"/>
      <c r="BU72" s="251"/>
      <c r="BV72" s="251"/>
      <c r="BW72" s="251"/>
      <c r="BX72" s="251"/>
      <c r="BY72" s="251"/>
      <c r="BZ72" s="251"/>
    </row>
    <row r="73" spans="1:78" s="251" customFormat="1" ht="96" customHeight="1" x14ac:dyDescent="0.2">
      <c r="A73" s="463"/>
      <c r="B73" s="464"/>
      <c r="C73" s="465"/>
      <c r="D73" s="466"/>
      <c r="E73" s="466"/>
      <c r="F73" s="467"/>
      <c r="G73" s="467"/>
      <c r="H73" s="467"/>
      <c r="I73" s="492"/>
      <c r="J73" s="492"/>
      <c r="K73" s="493"/>
      <c r="L73" s="490"/>
      <c r="M73" s="488"/>
      <c r="N73" s="489"/>
      <c r="O73" s="248">
        <f>IF(NOT(ISERROR(MATCH(N73,_xlfn.ANCHORARRAY(H83),0))),#REF!&amp;"Por favor no seleccionar los criterios de impacto",N73)</f>
        <v>0</v>
      </c>
      <c r="P73" s="490"/>
      <c r="Q73" s="488"/>
      <c r="R73" s="491"/>
      <c r="S73" s="235">
        <v>2</v>
      </c>
      <c r="T73" s="322" t="s">
        <v>1094</v>
      </c>
      <c r="U73" s="305" t="s">
        <v>293</v>
      </c>
      <c r="V73" s="307" t="str">
        <f>IF(OR(W73="Preventivo",W73="Detectivo"),"Probabilidad",IF(W73="Correctivo","Impacto",""))</f>
        <v>Probabilidad</v>
      </c>
      <c r="W73" s="259" t="s">
        <v>13</v>
      </c>
      <c r="X73" s="259" t="s">
        <v>8</v>
      </c>
      <c r="Y73" s="260" t="str">
        <f t="shared" si="143"/>
        <v>40%</v>
      </c>
      <c r="Z73" s="259" t="s">
        <v>19</v>
      </c>
      <c r="AA73" s="259" t="s">
        <v>21</v>
      </c>
      <c r="AB73" s="259" t="s">
        <v>103</v>
      </c>
      <c r="AC73" s="261">
        <f t="shared" ref="AC73" si="145">IFERROR(IF(AND(V72="Probabilidad",V73="Probabilidad"),(AE72-(+AE72*Y73)),IF(V73="Probabilidad",(M72-(+M72*Y73)),IF(V73="Impacto",AE72,""))),"")</f>
        <v>0.216</v>
      </c>
      <c r="AD73" s="262" t="str">
        <f t="shared" ref="AD73:AD74" si="146">IFERROR(IF(AC73="","",IF(AC73&lt;=0.2,"Muy Baja",IF(AC73&lt;=0.4,"Baja",IF(AC73&lt;=0.6,"Media",IF(AC73&lt;=0.8,"Alta","Muy Alta"))))),"")</f>
        <v>Baja</v>
      </c>
      <c r="AE73" s="260">
        <f t="shared" ref="AE73:AE74" si="147">+AC73</f>
        <v>0.216</v>
      </c>
      <c r="AF73" s="262" t="str">
        <f t="shared" si="11"/>
        <v>Catastrófico</v>
      </c>
      <c r="AG73" s="260">
        <f>IFERROR(IF(AND(V72="Impacto",V73="Impacto"),(AG72-(+AG72*Y73)),IF(V73="Impacto",($Q$72-(+$Q$72*Y73)),IF(V73="Probabilidad",AG72,""))),"")</f>
        <v>1</v>
      </c>
      <c r="AH73" s="264" t="str">
        <f t="shared" ref="AH73" si="148">IFERROR(IF(OR(AND(AD73="Muy Baja",AF73="Leve"),AND(AD73="Muy Baja",AF73="Menor"),AND(AD73="Baja",AF73="Leve")),"Bajo",IF(OR(AND(AD73="Muy baja",AF73="Moderado"),AND(AD73="Baja",AF73="Menor"),AND(AD73="Baja",AF73="Moderado"),AND(AD73="Media",AF73="Leve"),AND(AD73="Media",AF73="Menor"),AND(AD73="Media",AF73="Moderado"),AND(AD73="Alta",AF73="Leve"),AND(AD73="Alta",AF73="Menor")),"Moderado",IF(OR(AND(AD73="Muy Baja",AF73="Mayor"),AND(AD73="Baja",AF73="Mayor"),AND(AD73="Media",AF73="Mayor"),AND(AD73="Alta",AF73="Moderado"),AND(AD73="Alta",AF73="Mayor"),AND(AD73="Muy Alta",AF73="Leve"),AND(AD73="Muy Alta",AF73="Menor"),AND(AD73="Muy Alta",AF73="Moderado"),AND(AD73="Muy Alta",AF73="Mayor")),"Alto",IF(OR(AND(AD73="Muy Baja",AF73="Catastrófico"),AND(AD73="Baja",AF73="Catastrófico"),AND(AD73="Media",AF73="Catastrófico"),AND(AD73="Alta",AF73="Catastrófico"),AND(AD73="Muy Alta",AF73="Catastrófico")),"Extremo","")))),"")</f>
        <v>Extremo</v>
      </c>
      <c r="AI73" s="259" t="s">
        <v>26</v>
      </c>
      <c r="AJ73" s="236">
        <v>4</v>
      </c>
      <c r="AK73" s="236">
        <v>0</v>
      </c>
      <c r="AL73" s="236">
        <v>2</v>
      </c>
      <c r="AM73" s="236">
        <v>2</v>
      </c>
      <c r="AN73" s="247"/>
      <c r="AO73" s="246"/>
      <c r="AP73" s="246"/>
      <c r="AQ73" s="245"/>
      <c r="AR73" s="238"/>
      <c r="AS73" s="246"/>
      <c r="AT73" s="182"/>
    </row>
    <row r="74" spans="1:78" s="251" customFormat="1" ht="0.75" customHeight="1" x14ac:dyDescent="0.2">
      <c r="A74" s="463"/>
      <c r="B74" s="464"/>
      <c r="C74" s="465"/>
      <c r="D74" s="466"/>
      <c r="E74" s="466"/>
      <c r="F74" s="467"/>
      <c r="G74" s="467"/>
      <c r="H74" s="467"/>
      <c r="I74" s="492"/>
      <c r="J74" s="492"/>
      <c r="K74" s="493"/>
      <c r="L74" s="490"/>
      <c r="M74" s="488"/>
      <c r="N74" s="489"/>
      <c r="O74" s="248">
        <f>IF(NOT(ISERROR(MATCH(N74,_xlfn.ANCHORARRAY(#REF!),0))),#REF!&amp;"Por favor no seleccionar los criterios de impacto",N74)</f>
        <v>0</v>
      </c>
      <c r="P74" s="490"/>
      <c r="Q74" s="488"/>
      <c r="R74" s="491"/>
      <c r="S74" s="235">
        <v>6</v>
      </c>
      <c r="T74" s="328"/>
      <c r="U74" s="305"/>
      <c r="V74" s="307" t="str">
        <f t="shared" ref="V74" si="149">IF(OR(W74="Preventivo",W74="Detectivo"),"Probabilidad",IF(W74="Correctivo","Impacto",""))</f>
        <v/>
      </c>
      <c r="W74" s="259"/>
      <c r="X74" s="259"/>
      <c r="Y74" s="260" t="str">
        <f t="shared" ref="Y74" si="150">IF(AND(W74="Preventivo",X74="Automático"),"50%",IF(AND(W74="Preventivo",X74="Manual"),"40%",IF(AND(W74="Detectivo",X74="Automático"),"40%",IF(AND(W74="Detectivo",X74="Manual"),"30%",IF(AND(W74="Correctivo",X74="Automático"),"35%",IF(AND(W74="Correctivo",X74="Manual"),"25%",""))))))</f>
        <v/>
      </c>
      <c r="Z74" s="259"/>
      <c r="AA74" s="259"/>
      <c r="AB74" s="259"/>
      <c r="AC74" s="261" t="str">
        <f>IFERROR(IF(AND(#REF!="Probabilidad",V74="Probabilidad"),(#REF!-(+#REF!*Y74)),IF(AND(#REF!="Impacto",V74="Probabilidad"),(#REF!-(+#REF!*Y74)),IF(V74="Impacto",#REF!,""))),"")</f>
        <v/>
      </c>
      <c r="AD74" s="262" t="str">
        <f t="shared" si="146"/>
        <v/>
      </c>
      <c r="AE74" s="260" t="str">
        <f t="shared" si="147"/>
        <v/>
      </c>
      <c r="AF74" s="262" t="str">
        <f t="shared" si="11"/>
        <v/>
      </c>
      <c r="AG74" s="260" t="str">
        <f>IFERROR(IF(AND(#REF!="Impacto",V74="Impacto"),(#REF!-(+#REF!*Y74)),IF(V74="Impacto",($Q$72-(+$Q$72*Y74)),IF(V74="Probabilidad",#REF!,""))),"")</f>
        <v/>
      </c>
      <c r="AH74" s="264" t="str">
        <f t="shared" ref="AH74" si="151">IFERROR(IF(OR(AND(AD74="Muy Baja",AF74="Leve"),AND(AD74="Muy Baja",AF74="Menor"),AND(AD74="Baja",AF74="Leve")),"Bajo",IF(OR(AND(AD74="Muy baja",AF74="Moderado"),AND(AD74="Baja",AF74="Menor"),AND(AD74="Baja",AF74="Moderado"),AND(AD74="Media",AF74="Leve"),AND(AD74="Media",AF74="Menor"),AND(AD74="Media",AF74="Moderado"),AND(AD74="Alta",AF74="Leve"),AND(AD74="Alta",AF74="Menor")),"Moderado",IF(OR(AND(AD74="Muy Baja",AF74="Mayor"),AND(AD74="Baja",AF74="Mayor"),AND(AD74="Media",AF74="Mayor"),AND(AD74="Alta",AF74="Moderado"),AND(AD74="Alta",AF74="Mayor"),AND(AD74="Muy Alta",AF74="Leve"),AND(AD74="Muy Alta",AF74="Menor"),AND(AD74="Muy Alta",AF74="Moderado"),AND(AD74="Muy Alta",AF74="Mayor")),"Alto",IF(OR(AND(AD74="Muy Baja",AF74="Catastrófico"),AND(AD74="Baja",AF74="Catastrófico"),AND(AD74="Media",AF74="Catastrófico"),AND(AD74="Alta",AF74="Catastrófico"),AND(AD74="Muy Alta",AF74="Catastrófico")),"Extremo","")))),"")</f>
        <v/>
      </c>
      <c r="AI74" s="259"/>
      <c r="AJ74" s="236"/>
      <c r="AK74" s="236"/>
      <c r="AL74" s="236"/>
      <c r="AM74" s="236"/>
      <c r="AN74" s="247"/>
      <c r="AO74" s="245"/>
      <c r="AP74" s="245"/>
      <c r="AQ74" s="247"/>
      <c r="AR74" s="206"/>
      <c r="AS74" s="206"/>
      <c r="AT74" s="182"/>
    </row>
    <row r="75" spans="1:78" s="252" customFormat="1" ht="138" customHeight="1" x14ac:dyDescent="0.2">
      <c r="A75" s="281" t="s">
        <v>715</v>
      </c>
      <c r="B75" s="287" t="s">
        <v>753</v>
      </c>
      <c r="C75" s="211" t="s">
        <v>280</v>
      </c>
      <c r="D75" s="244" t="s">
        <v>619</v>
      </c>
      <c r="E75" s="244" t="s">
        <v>107</v>
      </c>
      <c r="F75" s="306" t="s">
        <v>828</v>
      </c>
      <c r="G75" s="306" t="s">
        <v>673</v>
      </c>
      <c r="H75" s="306" t="s">
        <v>829</v>
      </c>
      <c r="I75" s="245" t="s">
        <v>654</v>
      </c>
      <c r="J75" s="245" t="s">
        <v>744</v>
      </c>
      <c r="K75" s="247">
        <v>365</v>
      </c>
      <c r="L75" s="284" t="str">
        <f>IF(K75&lt;=0,"",IF(K75&lt;=2,"Muy Baja",IF(K75&lt;=24,"Baja",IF(K75&lt;=500,"Media",IF(K75&lt;=5000,"Alta","Muy Alta")))))</f>
        <v>Media</v>
      </c>
      <c r="M75" s="248">
        <f>IF(L75="","",IF(L75="Muy Baja",0.2,IF(L75="Baja",0.4,IF(L75="Media",0.6,IF(L75="Alta",0.8,IF(L75="Muy Alta",1,))))))</f>
        <v>0.6</v>
      </c>
      <c r="N75" s="285" t="s">
        <v>811</v>
      </c>
      <c r="O75" s="248" t="str">
        <f>IF(NOT(ISERROR(MATCH(N75,'Tabla Impacto'!$B$221:$B$223,0))),'Tabla Impacto'!$F$223&amp;"Por favor no seleccionar los criterios de impacto(Afectación Económica o presupuestal y Pérdida Reputacional)",N75)</f>
        <v xml:space="preserve">     El riesgo afecta la imagen de la entidad internamente, de conocimiento general, nivel interno, de junta directiva y accionistas y/o de proveedores</v>
      </c>
      <c r="P75" s="284" t="s">
        <v>846</v>
      </c>
      <c r="Q75" s="248">
        <f>IF(P75="","",IF(P75="Leve",0.2,IF(P75="Menor",0.4,IF(P75="Moderado",0.6,IF(P75="Mayor",0.8,IF(P75="Catastrófico",1,))))))</f>
        <v>0.4</v>
      </c>
      <c r="R75" s="280" t="str">
        <f>IF(OR(AND(L75="Muy Baja",P75="Leve"),AND(L75="Muy Baja",P75="Menor"),AND(L75="Baja",P75="Leve")),"Bajo",IF(OR(AND(L75="Muy baja",P75="Moderado"),AND(L75="Baja",P75="Menor"),AND(L75="Baja",P75="Moderado"),AND(L75="Media",P75="Leve"),AND(L75="Media",P75="Menor"),AND(L75="Media",P75="Moderado"),AND(L75="Alta",P75="Leve"),AND(L75="Alta",P75="Menor")),"Moderado",IF(OR(AND(L75="Muy Baja",P75="Mayor"),AND(L75="Baja",P75="Mayor"),AND(L75="Media",P75="Mayor"),AND(L75="Alta",P75="Moderado"),AND(L75="Alta",P75="Mayor"),AND(L75="Muy Alta",P75="Leve"),AND(L75="Muy Alta",P75="Menor"),AND(L75="Muy Alta",P75="Moderado"),AND(L75="Muy Alta",P75="Mayor")),"Alto",IF(OR(AND(L75="Muy Baja",P75="Catastrófico"),AND(L75="Baja",P75="Catastrófico"),AND(L75="Media",P75="Catastrófico"),AND(L75="Alta",P75="Catastrófico"),AND(L75="Muy Alta",P75="Catastrófico")),"Extremo",""))))</f>
        <v>Moderado</v>
      </c>
      <c r="S75" s="235">
        <v>1</v>
      </c>
      <c r="T75" s="322" t="s">
        <v>830</v>
      </c>
      <c r="U75" s="305" t="s">
        <v>293</v>
      </c>
      <c r="V75" s="307" t="str">
        <f>IF(OR(W75="Preventivo",W75="Detectivo"),"Probabilidad",IF(W75="Correctivo","Impacto",""))</f>
        <v>Probabilidad</v>
      </c>
      <c r="W75" s="259" t="s">
        <v>13</v>
      </c>
      <c r="X75" s="259" t="s">
        <v>8</v>
      </c>
      <c r="Y75" s="260" t="str">
        <f t="shared" ref="Y75:Y85" si="152">IF(AND(W75="Preventivo",X75="Automático"),"50%",IF(AND(W75="Preventivo",X75="Manual"),"40%",IF(AND(W75="Detectivo",X75="Automático"),"40%",IF(AND(W75="Detectivo",X75="Manual"),"30%",IF(AND(W75="Correctivo",X75="Automático"),"35%",IF(AND(W75="Correctivo",X75="Manual"),"25%",""))))))</f>
        <v>40%</v>
      </c>
      <c r="Z75" s="259" t="s">
        <v>19</v>
      </c>
      <c r="AA75" s="259" t="s">
        <v>21</v>
      </c>
      <c r="AB75" s="259" t="s">
        <v>103</v>
      </c>
      <c r="AC75" s="261">
        <f t="shared" ref="AC75" si="153">IFERROR(IF(V75="Probabilidad",(M75-(+M75*Y75)),IF(V75="Impacto",M75,"")),"")</f>
        <v>0.36</v>
      </c>
      <c r="AD75" s="262" t="str">
        <f>IFERROR(IF(AC75="","",IF(AC75&lt;=0.2,"Muy Baja",IF(AC75&lt;=0.4,"Baja",IF(AC75&lt;=0.6,"Media",IF(AC75&lt;=0.8,"Alta","Muy Alta"))))),"")</f>
        <v>Baja</v>
      </c>
      <c r="AE75" s="260">
        <f>+AC75</f>
        <v>0.36</v>
      </c>
      <c r="AF75" s="262" t="str">
        <f t="shared" ref="AF75:AF100" si="154">IFERROR(IF(AG75="","",IF(AG75&lt;=0.2,"Leve",IF(AG75&lt;=0.4,"Menor",IF(AG75&lt;=0.6,"Moderado",IF(AG75&lt;=0.8,"Mayor","Catastrófico"))))),"")</f>
        <v>Menor</v>
      </c>
      <c r="AG75" s="265">
        <f>IFERROR(IF(V75="Impacto",(Q75-(+Q75*Y75)),IF(V75="Probabilidad",Q75,"")),"")</f>
        <v>0.4</v>
      </c>
      <c r="AH75" s="264" t="str">
        <f>IFERROR(IF(OR(AND(AD75="Muy Baja",AF75="Leve"),AND(AD75="Muy Baja",AF75="Menor"),AND(AD75="Baja",AF75="Leve")),"Bajo",IF(OR(AND(AD75="Muy baja",AF75="Moderado"),AND(AD75="Baja",AF75="Menor"),AND(AD75="Baja",AF75="Moderado"),AND(AD75="Media",AF75="Leve"),AND(AD75="Media",AF75="Menor"),AND(AD75="Media",AF75="Moderado"),AND(AD75="Alta",AF75="Leve"),AND(AD75="Alta",AF75="Menor")),"Moderado",IF(OR(AND(AD75="Muy Baja",AF75="Mayor"),AND(AD75="Baja",AF75="Mayor"),AND(AD75="Media",AF75="Mayor"),AND(AD75="Alta",AF75="Moderado"),AND(AD75="Alta",AF75="Mayor"),AND(AD75="Muy Alta",AF75="Leve"),AND(AD75="Muy Alta",AF75="Menor"),AND(AD75="Muy Alta",AF75="Moderado"),AND(AD75="Muy Alta",AF75="Mayor")),"Alto",IF(OR(AND(AD75="Muy Baja",AF75="Catastrófico"),AND(AD75="Baja",AF75="Catastrófico"),AND(AD75="Media",AF75="Catastrófico"),AND(AD75="Alta",AF75="Catastrófico"),AND(AD75="Muy Alta",AF75="Catastrófico")),"Extremo","")))),"")</f>
        <v>Moderado</v>
      </c>
      <c r="AI75" s="259" t="s">
        <v>26</v>
      </c>
      <c r="AJ75" s="236">
        <v>2</v>
      </c>
      <c r="AK75" s="236">
        <v>0</v>
      </c>
      <c r="AL75" s="236">
        <v>1</v>
      </c>
      <c r="AM75" s="236">
        <v>1</v>
      </c>
      <c r="AN75" s="232"/>
      <c r="AO75" s="231"/>
      <c r="AP75" s="231"/>
      <c r="AQ75" s="232"/>
      <c r="AR75" s="233"/>
      <c r="AS75" s="233"/>
      <c r="AT75" s="182"/>
      <c r="AU75" s="251"/>
      <c r="AV75" s="251"/>
      <c r="AW75" s="251"/>
      <c r="AX75" s="251"/>
      <c r="AY75" s="251"/>
      <c r="AZ75" s="251"/>
      <c r="BA75" s="251"/>
      <c r="BB75" s="251"/>
      <c r="BC75" s="251"/>
      <c r="BD75" s="251"/>
      <c r="BE75" s="251"/>
      <c r="BF75" s="251"/>
      <c r="BG75" s="251"/>
      <c r="BH75" s="251"/>
      <c r="BI75" s="251"/>
      <c r="BJ75" s="251"/>
      <c r="BK75" s="251"/>
      <c r="BL75" s="251"/>
      <c r="BM75" s="251"/>
      <c r="BN75" s="251"/>
      <c r="BO75" s="251"/>
      <c r="BP75" s="251"/>
      <c r="BQ75" s="251"/>
      <c r="BR75" s="251"/>
      <c r="BS75" s="251"/>
      <c r="BT75" s="251"/>
      <c r="BU75" s="251"/>
      <c r="BV75" s="251"/>
      <c r="BW75" s="251"/>
      <c r="BX75" s="251"/>
      <c r="BY75" s="251"/>
      <c r="BZ75" s="251"/>
    </row>
    <row r="76" spans="1:78" s="252" customFormat="1" ht="145.5" customHeight="1" x14ac:dyDescent="0.2">
      <c r="A76" s="463" t="s">
        <v>718</v>
      </c>
      <c r="B76" s="464" t="s">
        <v>753</v>
      </c>
      <c r="C76" s="465" t="s">
        <v>612</v>
      </c>
      <c r="D76" s="466" t="s">
        <v>623</v>
      </c>
      <c r="E76" s="466" t="s">
        <v>109</v>
      </c>
      <c r="F76" s="467" t="s">
        <v>831</v>
      </c>
      <c r="G76" s="467" t="s">
        <v>832</v>
      </c>
      <c r="H76" s="467" t="s">
        <v>833</v>
      </c>
      <c r="I76" s="492" t="s">
        <v>654</v>
      </c>
      <c r="J76" s="492" t="s">
        <v>834</v>
      </c>
      <c r="K76" s="493">
        <v>8760</v>
      </c>
      <c r="L76" s="490" t="str">
        <f t="shared" ref="L76" si="155">IF(K76&lt;=0,"",IF(K76&lt;=2,"Muy Baja",IF(K76&lt;=24,"Baja",IF(K76&lt;=500,"Media",IF(K76&lt;=5000,"Alta","Muy Alta")))))</f>
        <v>Muy Alta</v>
      </c>
      <c r="M76" s="488">
        <f>IF(L76="","",IF(L76="Muy Baja",0.2,IF(L76="Baja",0.4,IF(L76="Media",0.6,IF(L76="Alta",0.8,IF(L76="Muy Alta",1,))))))</f>
        <v>1</v>
      </c>
      <c r="N76" s="489" t="s">
        <v>123</v>
      </c>
      <c r="O76" s="488" t="str">
        <f>IF(NOT(ISERROR(MATCH(N76,'Tabla Impacto'!$B$221:$B$223,0))),'Tabla Impacto'!$F$223&amp;"Por favor no seleccionar los criterios de impacto(Afectación Económica o presupuestal y Pérdida Reputacional)",N76)</f>
        <v xml:space="preserve">     El riesgo afecta la imagen de la entidad a nivel nacional, con efecto publicitarios sostenible a nivel país</v>
      </c>
      <c r="P76" s="490" t="str">
        <f>IF(OR(O76='Tabla Impacto'!$C$11,O76='Tabla Impacto'!$D$11),"Leve",IF(OR(O76='Tabla Impacto'!$C$12,O76='Tabla Impacto'!$D$12),"Menor",IF(OR(O76='Tabla Impacto'!$C$13,O76='Tabla Impacto'!$D$13),"Moderado",IF(OR(O76='Tabla Impacto'!$C$14,O76='Tabla Impacto'!$D$14),"Mayor",IF(OR(O76='Tabla Impacto'!$C$15,O76='Tabla Impacto'!$D$15),"Catastrófico","")))))</f>
        <v>Catastrófico</v>
      </c>
      <c r="Q76" s="488">
        <f>IF(P76="","",IF(P76="Leve",0.2,IF(P76="Menor",0.4,IF(P76="Moderado",0.6,IF(P76="Mayor",0.8,IF(P76="Catastrófico",1,))))))</f>
        <v>1</v>
      </c>
      <c r="R76" s="495" t="str">
        <f>IF(OR(AND(L76="Muy Baja",P76="Leve"),AND(L76="Muy Baja",P76="Menor"),AND(L76="Baja",P76="Leve")),"Bajo",IF(OR(AND(L76="Muy baja",P76="Moderado"),AND(L76="Baja",P76="Menor"),AND(L76="Baja",P76="Moderado"),AND(L76="Media",P76="Leve"),AND(L76="Media",P76="Menor"),AND(L76="Media",P76="Moderado"),AND(L76="Alta",P76="Leve"),AND(L76="Alta",P76="Menor")),"Moderado",IF(OR(AND(L76="Muy Baja",P76="Mayor"),AND(L76="Baja",P76="Mayor"),AND(L76="Media",P76="Mayor"),AND(L76="Alta",P76="Moderado"),AND(L76="Alta",P76="Mayor"),AND(L76="Muy Alta",P76="Leve"),AND(L76="Muy Alta",P76="Menor"),AND(L76="Muy Alta",P76="Moderado"),AND(L76="Muy Alta",P76="Mayor")),"Alto",IF(OR(AND(L76="Muy Baja",P76="Catastrófico"),AND(L76="Baja",P76="Catastrófico"),AND(L76="Media",P76="Catastrófico"),AND(L76="Alta",P76="Catastrófico"),AND(L76="Muy Alta",P76="Catastrófico")),"Extremo",""))))</f>
        <v>Extremo</v>
      </c>
      <c r="S76" s="235">
        <v>1</v>
      </c>
      <c r="T76" s="323" t="s">
        <v>910</v>
      </c>
      <c r="U76" s="270" t="s">
        <v>293</v>
      </c>
      <c r="V76" s="307" t="str">
        <f>IF(OR(W76="Preventivo",W76="Detectivo"),"Probabilidad",IF(W76="Correctivo","Impacto",""))</f>
        <v>Probabilidad</v>
      </c>
      <c r="W76" s="259" t="s">
        <v>13</v>
      </c>
      <c r="X76" s="259" t="s">
        <v>8</v>
      </c>
      <c r="Y76" s="260" t="str">
        <f t="shared" si="152"/>
        <v>40%</v>
      </c>
      <c r="Z76" s="259" t="s">
        <v>18</v>
      </c>
      <c r="AA76" s="259" t="s">
        <v>21</v>
      </c>
      <c r="AB76" s="259" t="s">
        <v>103</v>
      </c>
      <c r="AC76" s="261">
        <f t="shared" ref="AC76" si="156">IFERROR(IF(V76="Probabilidad",(M76-(+M76*Y76)),IF(V76="Impacto",M76,"")),"")</f>
        <v>0.6</v>
      </c>
      <c r="AD76" s="262" t="str">
        <f>IFERROR(IF(AC76="","",IF(AC76&lt;=0.2,"Muy Baja",IF(AC76&lt;=0.4,"Baja",IF(AC76&lt;=0.6,"Media",IF(AC76&lt;=0.8,"Alta","Muy Alta"))))),"")</f>
        <v>Media</v>
      </c>
      <c r="AE76" s="260">
        <f>+AC76</f>
        <v>0.6</v>
      </c>
      <c r="AF76" s="262" t="str">
        <f t="shared" si="154"/>
        <v>Catastrófico</v>
      </c>
      <c r="AG76" s="260">
        <f>IFERROR(IF(V76="Impacto",(Q76-(+Q76*Y76)),IF(V76="Probabilidad",Q76,"")),"")</f>
        <v>1</v>
      </c>
      <c r="AH76" s="264" t="str">
        <f>IFERROR(IF(OR(AND(AD76="Muy Baja",AF76="Leve"),AND(AD76="Muy Baja",AF76="Menor"),AND(AD76="Baja",AF76="Leve")),"Bajo",IF(OR(AND(AD76="Muy baja",AF76="Moderado"),AND(AD76="Baja",AF76="Menor"),AND(AD76="Baja",AF76="Moderado"),AND(AD76="Media",AF76="Leve"),AND(AD76="Media",AF76="Menor"),AND(AD76="Media",AF76="Moderado"),AND(AD76="Alta",AF76="Leve"),AND(AD76="Alta",AF76="Menor")),"Moderado",IF(OR(AND(AD76="Muy Baja",AF76="Mayor"),AND(AD76="Baja",AF76="Mayor"),AND(AD76="Media",AF76="Mayor"),AND(AD76="Alta",AF76="Moderado"),AND(AD76="Alta",AF76="Mayor"),AND(AD76="Muy Alta",AF76="Leve"),AND(AD76="Muy Alta",AF76="Menor"),AND(AD76="Muy Alta",AF76="Moderado"),AND(AD76="Muy Alta",AF76="Mayor")),"Alto",IF(OR(AND(AD76="Muy Baja",AF76="Catastrófico"),AND(AD76="Baja",AF76="Catastrófico"),AND(AD76="Media",AF76="Catastrófico"),AND(AD76="Alta",AF76="Catastrófico"),AND(AD76="Muy Alta",AF76="Catastrófico")),"Extremo","")))),"")</f>
        <v>Extremo</v>
      </c>
      <c r="AI76" s="259" t="s">
        <v>26</v>
      </c>
      <c r="AJ76" s="271">
        <v>3</v>
      </c>
      <c r="AK76" s="271">
        <v>1</v>
      </c>
      <c r="AL76" s="271">
        <v>1</v>
      </c>
      <c r="AM76" s="271">
        <v>1</v>
      </c>
      <c r="AN76" s="232"/>
      <c r="AO76" s="231"/>
      <c r="AP76" s="231"/>
      <c r="AQ76" s="232"/>
      <c r="AR76" s="233"/>
      <c r="AS76" s="233"/>
      <c r="AT76" s="182"/>
      <c r="AU76" s="251"/>
      <c r="AV76" s="251"/>
      <c r="AW76" s="251"/>
      <c r="AX76" s="251"/>
      <c r="AY76" s="251"/>
      <c r="AZ76" s="251"/>
      <c r="BA76" s="251"/>
      <c r="BB76" s="251"/>
      <c r="BC76" s="251"/>
      <c r="BD76" s="251"/>
      <c r="BE76" s="251"/>
      <c r="BF76" s="251"/>
      <c r="BG76" s="251"/>
      <c r="BH76" s="251"/>
      <c r="BI76" s="251"/>
      <c r="BJ76" s="251"/>
      <c r="BK76" s="251"/>
      <c r="BL76" s="251"/>
      <c r="BM76" s="251"/>
      <c r="BN76" s="251"/>
      <c r="BO76" s="251"/>
      <c r="BP76" s="251"/>
      <c r="BQ76" s="251"/>
      <c r="BR76" s="251"/>
      <c r="BS76" s="251"/>
      <c r="BT76" s="251"/>
      <c r="BU76" s="251"/>
      <c r="BV76" s="251"/>
      <c r="BW76" s="251"/>
      <c r="BX76" s="251"/>
      <c r="BY76" s="251"/>
      <c r="BZ76" s="251"/>
    </row>
    <row r="77" spans="1:78" s="251" customFormat="1" ht="97.5" customHeight="1" x14ac:dyDescent="0.2">
      <c r="A77" s="463"/>
      <c r="B77" s="464"/>
      <c r="C77" s="465"/>
      <c r="D77" s="466"/>
      <c r="E77" s="466"/>
      <c r="F77" s="467"/>
      <c r="G77" s="467"/>
      <c r="H77" s="467"/>
      <c r="I77" s="492"/>
      <c r="J77" s="492"/>
      <c r="K77" s="493"/>
      <c r="L77" s="490"/>
      <c r="M77" s="488"/>
      <c r="N77" s="489"/>
      <c r="O77" s="488">
        <f>IF(NOT(ISERROR(MATCH(N77,_xlfn.ANCHORARRAY(H81),0))),#REF!&amp;"Por favor no seleccionar los criterios de impacto",N77)</f>
        <v>0</v>
      </c>
      <c r="P77" s="490"/>
      <c r="Q77" s="488"/>
      <c r="R77" s="495"/>
      <c r="S77" s="235">
        <v>2</v>
      </c>
      <c r="T77" s="323" t="s">
        <v>911</v>
      </c>
      <c r="U77" s="270" t="s">
        <v>293</v>
      </c>
      <c r="V77" s="307" t="str">
        <f>IF(OR(W77="Preventivo",W77="Detectivo"),"Probabilidad",IF(W77="Correctivo","Impacto",""))</f>
        <v>Probabilidad</v>
      </c>
      <c r="W77" s="259" t="s">
        <v>14</v>
      </c>
      <c r="X77" s="259" t="s">
        <v>8</v>
      </c>
      <c r="Y77" s="260" t="str">
        <f t="shared" si="152"/>
        <v>30%</v>
      </c>
      <c r="Z77" s="259" t="s">
        <v>18</v>
      </c>
      <c r="AA77" s="259" t="s">
        <v>21</v>
      </c>
      <c r="AB77" s="259" t="s">
        <v>103</v>
      </c>
      <c r="AC77" s="261">
        <f t="shared" ref="AC77" si="157">IFERROR(IF(AND(V76="Probabilidad",V77="Probabilidad"),(AE76-(+AE76*Y77)),IF(V77="Probabilidad",(M76-(+M76*Y77)),IF(V77="Impacto",AE76,""))),"")</f>
        <v>0.42</v>
      </c>
      <c r="AD77" s="262" t="str">
        <f t="shared" ref="AD77:AD80" si="158">IFERROR(IF(AC77="","",IF(AC77&lt;=0.2,"Muy Baja",IF(AC77&lt;=0.4,"Baja",IF(AC77&lt;=0.6,"Media",IF(AC77&lt;=0.8,"Alta","Muy Alta"))))),"")</f>
        <v>Media</v>
      </c>
      <c r="AE77" s="260">
        <f t="shared" ref="AE77:AE80" si="159">+AC77</f>
        <v>0.42</v>
      </c>
      <c r="AF77" s="262" t="str">
        <f t="shared" si="154"/>
        <v>Catastrófico</v>
      </c>
      <c r="AG77" s="260">
        <f>IFERROR(IF(AND(V76="Impacto",V77="Impacto"),(AG76-(+AG76*Y77)),IF(V77="Impacto",($Q$76-(+$Q$76*Y77)),IF(V77="Probabilidad",AG76,""))),"")</f>
        <v>1</v>
      </c>
      <c r="AH77" s="264" t="str">
        <f t="shared" ref="AH77:AH78" si="160">IFERROR(IF(OR(AND(AD77="Muy Baja",AF77="Leve"),AND(AD77="Muy Baja",AF77="Menor"),AND(AD77="Baja",AF77="Leve")),"Bajo",IF(OR(AND(AD77="Muy baja",AF77="Moderado"),AND(AD77="Baja",AF77="Menor"),AND(AD77="Baja",AF77="Moderado"),AND(AD77="Media",AF77="Leve"),AND(AD77="Media",AF77="Menor"),AND(AD77="Media",AF77="Moderado"),AND(AD77="Alta",AF77="Leve"),AND(AD77="Alta",AF77="Menor")),"Moderado",IF(OR(AND(AD77="Muy Baja",AF77="Mayor"),AND(AD77="Baja",AF77="Mayor"),AND(AD77="Media",AF77="Mayor"),AND(AD77="Alta",AF77="Moderado"),AND(AD77="Alta",AF77="Mayor"),AND(AD77="Muy Alta",AF77="Leve"),AND(AD77="Muy Alta",AF77="Menor"),AND(AD77="Muy Alta",AF77="Moderado"),AND(AD77="Muy Alta",AF77="Mayor")),"Alto",IF(OR(AND(AD77="Muy Baja",AF77="Catastrófico"),AND(AD77="Baja",AF77="Catastrófico"),AND(AD77="Media",AF77="Catastrófico"),AND(AD77="Alta",AF77="Catastrófico"),AND(AD77="Muy Alta",AF77="Catastrófico")),"Extremo","")))),"")</f>
        <v>Extremo</v>
      </c>
      <c r="AI77" s="259" t="s">
        <v>26</v>
      </c>
      <c r="AJ77" s="271">
        <v>3</v>
      </c>
      <c r="AK77" s="271">
        <v>1</v>
      </c>
      <c r="AL77" s="271">
        <v>1</v>
      </c>
      <c r="AM77" s="271">
        <v>1</v>
      </c>
      <c r="AN77" s="247"/>
      <c r="AO77" s="245"/>
      <c r="AP77" s="245"/>
      <c r="AQ77" s="247"/>
      <c r="AR77" s="206"/>
      <c r="AS77" s="206"/>
      <c r="AT77" s="182"/>
    </row>
    <row r="78" spans="1:78" s="251" customFormat="1" ht="97.5" customHeight="1" x14ac:dyDescent="0.2">
      <c r="A78" s="463"/>
      <c r="B78" s="464"/>
      <c r="C78" s="465"/>
      <c r="D78" s="466"/>
      <c r="E78" s="466"/>
      <c r="F78" s="467"/>
      <c r="G78" s="467"/>
      <c r="H78" s="467"/>
      <c r="I78" s="492"/>
      <c r="J78" s="492"/>
      <c r="K78" s="493"/>
      <c r="L78" s="490"/>
      <c r="M78" s="488"/>
      <c r="N78" s="489"/>
      <c r="O78" s="488">
        <f>IF(NOT(ISERROR(MATCH(N78,_xlfn.ANCHORARRAY(#REF!),0))),#REF!&amp;"Por favor no seleccionar los criterios de impacto",N78)</f>
        <v>0</v>
      </c>
      <c r="P78" s="490"/>
      <c r="Q78" s="488"/>
      <c r="R78" s="495"/>
      <c r="S78" s="235">
        <v>3</v>
      </c>
      <c r="T78" s="323" t="s">
        <v>912</v>
      </c>
      <c r="U78" s="270" t="s">
        <v>293</v>
      </c>
      <c r="V78" s="307" t="str">
        <f>IF(OR(W78="Preventivo",W78="Detectivo"),"Probabilidad",IF(W78="Correctivo","Impacto",""))</f>
        <v>Probabilidad</v>
      </c>
      <c r="W78" s="259" t="s">
        <v>14</v>
      </c>
      <c r="X78" s="259" t="s">
        <v>8</v>
      </c>
      <c r="Y78" s="260" t="str">
        <f t="shared" si="152"/>
        <v>30%</v>
      </c>
      <c r="Z78" s="259" t="s">
        <v>18</v>
      </c>
      <c r="AA78" s="259" t="s">
        <v>21</v>
      </c>
      <c r="AB78" s="259" t="s">
        <v>103</v>
      </c>
      <c r="AC78" s="261">
        <f t="shared" ref="AC78:AC80" si="161">IFERROR(IF(AND(V77="Probabilidad",V78="Probabilidad"),(AE77-(+AE77*Y78)),IF(AND(V77="Impacto",V78="Probabilidad"),(AE76-(+AE76*Y78)),IF(V78="Impacto",AE77,""))),"")</f>
        <v>0.29399999999999998</v>
      </c>
      <c r="AD78" s="262" t="str">
        <f t="shared" si="158"/>
        <v>Baja</v>
      </c>
      <c r="AE78" s="260">
        <f t="shared" si="159"/>
        <v>0.29399999999999998</v>
      </c>
      <c r="AF78" s="262" t="str">
        <f t="shared" si="154"/>
        <v>Catastrófico</v>
      </c>
      <c r="AG78" s="260">
        <f>IFERROR(IF(AND(V77="Impacto",V78="Impacto"),(AG77-(+AG77*Y78)),IF(V78="Impacto",($Q$76-(+$Q$76*Y78)),IF(V78="Probabilidad",AG77,""))),"")</f>
        <v>1</v>
      </c>
      <c r="AH78" s="264" t="str">
        <f t="shared" si="160"/>
        <v>Extremo</v>
      </c>
      <c r="AI78" s="259" t="s">
        <v>26</v>
      </c>
      <c r="AJ78" s="271">
        <v>3</v>
      </c>
      <c r="AK78" s="271">
        <v>1</v>
      </c>
      <c r="AL78" s="271">
        <v>1</v>
      </c>
      <c r="AM78" s="271">
        <v>1</v>
      </c>
      <c r="AN78" s="247"/>
      <c r="AO78" s="245"/>
      <c r="AP78" s="245"/>
      <c r="AQ78" s="247"/>
      <c r="AR78" s="206"/>
      <c r="AS78" s="206"/>
      <c r="AT78" s="182"/>
    </row>
    <row r="79" spans="1:78" s="251" customFormat="1" ht="97.5" customHeight="1" x14ac:dyDescent="0.2">
      <c r="A79" s="463"/>
      <c r="B79" s="464"/>
      <c r="C79" s="465"/>
      <c r="D79" s="466"/>
      <c r="E79" s="466"/>
      <c r="F79" s="467"/>
      <c r="G79" s="467"/>
      <c r="H79" s="467"/>
      <c r="I79" s="492"/>
      <c r="J79" s="492"/>
      <c r="K79" s="493"/>
      <c r="L79" s="490"/>
      <c r="M79" s="488"/>
      <c r="N79" s="489"/>
      <c r="O79" s="488">
        <f>IF(NOT(ISERROR(MATCH(N79,_xlfn.ANCHORARRAY(#REF!),0))),#REF!&amp;"Por favor no seleccionar los criterios de impacto",N79)</f>
        <v>0</v>
      </c>
      <c r="P79" s="490"/>
      <c r="Q79" s="488"/>
      <c r="R79" s="495"/>
      <c r="S79" s="235">
        <v>4</v>
      </c>
      <c r="T79" s="323" t="s">
        <v>913</v>
      </c>
      <c r="U79" s="270" t="s">
        <v>293</v>
      </c>
      <c r="V79" s="307" t="str">
        <f t="shared" ref="V79:V80" si="162">IF(OR(W79="Preventivo",W79="Detectivo"),"Probabilidad",IF(W79="Correctivo","Impacto",""))</f>
        <v>Probabilidad</v>
      </c>
      <c r="W79" s="259" t="s">
        <v>13</v>
      </c>
      <c r="X79" s="259" t="s">
        <v>8</v>
      </c>
      <c r="Y79" s="260" t="str">
        <f t="shared" si="152"/>
        <v>40%</v>
      </c>
      <c r="Z79" s="259" t="s">
        <v>19</v>
      </c>
      <c r="AA79" s="259" t="s">
        <v>21</v>
      </c>
      <c r="AB79" s="259" t="s">
        <v>103</v>
      </c>
      <c r="AC79" s="261">
        <f t="shared" si="161"/>
        <v>0.1764</v>
      </c>
      <c r="AD79" s="262" t="str">
        <f t="shared" si="158"/>
        <v>Muy Baja</v>
      </c>
      <c r="AE79" s="260">
        <f t="shared" si="159"/>
        <v>0.1764</v>
      </c>
      <c r="AF79" s="262" t="str">
        <f t="shared" si="154"/>
        <v>Catastrófico</v>
      </c>
      <c r="AG79" s="260">
        <f>IFERROR(IF(AND(V78="Impacto",V79="Impacto"),(AG78-(+AG78*Y79)),IF(V79="Impacto",($Q$76-(+$Q$76*Y79)),IF(V79="Probabilidad",AG78,""))),"")</f>
        <v>1</v>
      </c>
      <c r="AH79" s="264" t="str">
        <f>IFERROR(IF(OR(AND(AD79="Muy Baja",AF79="Leve"),AND(AD79="Muy Baja",AF79="Menor"),AND(AD79="Baja",AF79="Leve")),"Bajo",IF(OR(AND(AD79="Muy baja",AF79="Moderado"),AND(AD79="Baja",AF79="Menor"),AND(AD79="Baja",AF79="Moderado"),AND(AD79="Media",AF79="Leve"),AND(AD79="Media",AF79="Menor"),AND(AD79="Media",AF79="Moderado"),AND(AD79="Alta",AF79="Leve"),AND(AD79="Alta",AF79="Menor")),"Moderado",IF(OR(AND(AD79="Muy Baja",AF79="Mayor"),AND(AD79="Baja",AF79="Mayor"),AND(AD79="Media",AF79="Mayor"),AND(AD79="Alta",AF79="Moderado"),AND(AD79="Alta",AF79="Mayor"),AND(AD79="Muy Alta",AF79="Leve"),AND(AD79="Muy Alta",AF79="Menor"),AND(AD79="Muy Alta",AF79="Moderado"),AND(AD79="Muy Alta",AF79="Mayor")),"Alto",IF(OR(AND(AD79="Muy Baja",AF79="Catastrófico"),AND(AD79="Baja",AF79="Catastrófico"),AND(AD79="Media",AF79="Catastrófico"),AND(AD79="Alta",AF79="Catastrófico"),AND(AD79="Muy Alta",AF79="Catastrófico")),"Extremo","")))),"")</f>
        <v>Extremo</v>
      </c>
      <c r="AI79" s="259" t="s">
        <v>26</v>
      </c>
      <c r="AJ79" s="271">
        <v>3</v>
      </c>
      <c r="AK79" s="271">
        <v>1</v>
      </c>
      <c r="AL79" s="271">
        <v>1</v>
      </c>
      <c r="AM79" s="271">
        <v>1</v>
      </c>
      <c r="AN79" s="247"/>
      <c r="AO79" s="245"/>
      <c r="AP79" s="245"/>
      <c r="AQ79" s="247"/>
      <c r="AR79" s="206"/>
      <c r="AS79" s="206"/>
      <c r="AT79" s="182"/>
    </row>
    <row r="80" spans="1:78" s="251" customFormat="1" ht="97.5" customHeight="1" x14ac:dyDescent="0.2">
      <c r="A80" s="463"/>
      <c r="B80" s="464"/>
      <c r="C80" s="465"/>
      <c r="D80" s="466"/>
      <c r="E80" s="466"/>
      <c r="F80" s="467"/>
      <c r="G80" s="467"/>
      <c r="H80" s="467"/>
      <c r="I80" s="492"/>
      <c r="J80" s="492"/>
      <c r="K80" s="493"/>
      <c r="L80" s="490"/>
      <c r="M80" s="488"/>
      <c r="N80" s="489"/>
      <c r="O80" s="488">
        <f>IF(NOT(ISERROR(MATCH(N80,_xlfn.ANCHORARRAY(#REF!),0))),#REF!&amp;"Por favor no seleccionar los criterios de impacto",N80)</f>
        <v>0</v>
      </c>
      <c r="P80" s="490"/>
      <c r="Q80" s="488"/>
      <c r="R80" s="495"/>
      <c r="S80" s="235">
        <v>5</v>
      </c>
      <c r="T80" s="323" t="s">
        <v>914</v>
      </c>
      <c r="U80" s="270" t="s">
        <v>293</v>
      </c>
      <c r="V80" s="307" t="str">
        <f t="shared" si="162"/>
        <v>Probabilidad</v>
      </c>
      <c r="W80" s="259" t="s">
        <v>14</v>
      </c>
      <c r="X80" s="259" t="s">
        <v>8</v>
      </c>
      <c r="Y80" s="260" t="str">
        <f t="shared" si="152"/>
        <v>30%</v>
      </c>
      <c r="Z80" s="259" t="s">
        <v>19</v>
      </c>
      <c r="AA80" s="259" t="s">
        <v>21</v>
      </c>
      <c r="AB80" s="259" t="s">
        <v>103</v>
      </c>
      <c r="AC80" s="261">
        <f t="shared" si="161"/>
        <v>0.12348000000000001</v>
      </c>
      <c r="AD80" s="262" t="str">
        <f t="shared" si="158"/>
        <v>Muy Baja</v>
      </c>
      <c r="AE80" s="260">
        <f t="shared" si="159"/>
        <v>0.12348000000000001</v>
      </c>
      <c r="AF80" s="262" t="str">
        <f t="shared" si="154"/>
        <v>Catastrófico</v>
      </c>
      <c r="AG80" s="260">
        <f>IFERROR(IF(AND(V79="Impacto",V80="Impacto"),(AG79-(+AG79*Y80)),IF(V80="Impacto",($Q$76-(+$Q$76*Y80)),IF(V80="Probabilidad",AG79,""))),"")</f>
        <v>1</v>
      </c>
      <c r="AH80" s="264" t="str">
        <f t="shared" ref="AH80" si="163">IFERROR(IF(OR(AND(AD80="Muy Baja",AF80="Leve"),AND(AD80="Muy Baja",AF80="Menor"),AND(AD80="Baja",AF80="Leve")),"Bajo",IF(OR(AND(AD80="Muy baja",AF80="Moderado"),AND(AD80="Baja",AF80="Menor"),AND(AD80="Baja",AF80="Moderado"),AND(AD80="Media",AF80="Leve"),AND(AD80="Media",AF80="Menor"),AND(AD80="Media",AF80="Moderado"),AND(AD80="Alta",AF80="Leve"),AND(AD80="Alta",AF80="Menor")),"Moderado",IF(OR(AND(AD80="Muy Baja",AF80="Mayor"),AND(AD80="Baja",AF80="Mayor"),AND(AD80="Media",AF80="Mayor"),AND(AD80="Alta",AF80="Moderado"),AND(AD80="Alta",AF80="Mayor"),AND(AD80="Muy Alta",AF80="Leve"),AND(AD80="Muy Alta",AF80="Menor"),AND(AD80="Muy Alta",AF80="Moderado"),AND(AD80="Muy Alta",AF80="Mayor")),"Alto",IF(OR(AND(AD80="Muy Baja",AF80="Catastrófico"),AND(AD80="Baja",AF80="Catastrófico"),AND(AD80="Media",AF80="Catastrófico"),AND(AD80="Alta",AF80="Catastrófico"),AND(AD80="Muy Alta",AF80="Catastrófico")),"Extremo","")))),"")</f>
        <v>Extremo</v>
      </c>
      <c r="AI80" s="259" t="s">
        <v>26</v>
      </c>
      <c r="AJ80" s="271">
        <v>3</v>
      </c>
      <c r="AK80" s="271">
        <v>1</v>
      </c>
      <c r="AL80" s="271">
        <v>1</v>
      </c>
      <c r="AM80" s="271">
        <v>1</v>
      </c>
      <c r="AN80" s="247"/>
      <c r="AO80" s="245"/>
      <c r="AP80" s="245"/>
      <c r="AQ80" s="247"/>
      <c r="AR80" s="206"/>
      <c r="AS80" s="206"/>
      <c r="AT80" s="182"/>
    </row>
    <row r="81" spans="1:78" s="252" customFormat="1" ht="130.5" customHeight="1" x14ac:dyDescent="0.2">
      <c r="A81" s="281" t="s">
        <v>719</v>
      </c>
      <c r="B81" s="282" t="s">
        <v>753</v>
      </c>
      <c r="C81" s="211" t="s">
        <v>286</v>
      </c>
      <c r="D81" s="244" t="s">
        <v>618</v>
      </c>
      <c r="E81" s="244" t="s">
        <v>107</v>
      </c>
      <c r="F81" s="306" t="s">
        <v>765</v>
      </c>
      <c r="G81" s="306" t="s">
        <v>673</v>
      </c>
      <c r="H81" s="306" t="s">
        <v>1067</v>
      </c>
      <c r="I81" s="245" t="s">
        <v>654</v>
      </c>
      <c r="J81" s="245" t="s">
        <v>766</v>
      </c>
      <c r="K81" s="247">
        <v>474</v>
      </c>
      <c r="L81" s="284" t="str">
        <f t="shared" ref="L81" si="164">IF(K81&lt;=0,"",IF(K81&lt;=2,"Muy Baja",IF(K81&lt;=24,"Baja",IF(K81&lt;=500,"Media",IF(K81&lt;=5000,"Alta","Muy Alta")))))</f>
        <v>Media</v>
      </c>
      <c r="M81" s="248">
        <f>IF(L81="","",IF(L81="Muy Baja",0.2,IF(L81="Baja",0.4,IF(L81="Media",0.6,IF(L81="Alta",0.8,IF(L81="Muy Alta",1,))))))</f>
        <v>0.6</v>
      </c>
      <c r="N81" s="285" t="s">
        <v>121</v>
      </c>
      <c r="O81" s="248" t="str">
        <f>IF(NOT(ISERROR(MATCH(N81,'Tabla Impacto'!$B$221:$B$223,0))),'Tabla Impacto'!$F$223&amp;"Por favor no seleccionar los criterios de impacto(Afectación Económica o presupuestal y Pérdida Reputacional)",N81)</f>
        <v xml:space="preserve">     El riesgo afecta la imagen de la entidad con algunos usuarios de relevancia frente al logro de los objetivos</v>
      </c>
      <c r="P81" s="284" t="str">
        <f>IF(OR(O81='Tabla Impacto'!$C$11,O81='Tabla Impacto'!$D$11),"Leve",IF(OR(O81='Tabla Impacto'!$C$12,O81='Tabla Impacto'!$D$12),"Menor",IF(OR(O81='Tabla Impacto'!$C$13,O81='Tabla Impacto'!$D$13),"Moderado",IF(OR(O81='Tabla Impacto'!$C$14,O81='Tabla Impacto'!$D$14),"Mayor",IF(OR(O81='Tabla Impacto'!$C$15,O81='Tabla Impacto'!$D$15),"Catastrófico","")))))</f>
        <v>Moderado</v>
      </c>
      <c r="Q81" s="248">
        <f>IF(P81="","",IF(P81="Leve",0.2,IF(P81="Menor",0.4,IF(P81="Moderado",0.6,IF(P81="Mayor",0.8,IF(P81="Catastrófico",1,))))))</f>
        <v>0.6</v>
      </c>
      <c r="R81" s="280" t="str">
        <f>IF(OR(AND(L81="Muy Baja",P81="Leve"),AND(L81="Muy Baja",P81="Menor"),AND(L81="Baja",P81="Leve")),"Bajo",IF(OR(AND(L81="Muy baja",P81="Moderado"),AND(L81="Baja",P81="Menor"),AND(L81="Baja",P81="Moderado"),AND(L81="Media",P81="Leve"),AND(L81="Media",P81="Menor"),AND(L81="Media",P81="Moderado"),AND(L81="Alta",P81="Leve"),AND(L81="Alta",P81="Menor")),"Moderado",IF(OR(AND(L81="Muy Baja",P81="Mayor"),AND(L81="Baja",P81="Mayor"),AND(L81="Media",P81="Mayor"),AND(L81="Alta",P81="Moderado"),AND(L81="Alta",P81="Mayor"),AND(L81="Muy Alta",P81="Leve"),AND(L81="Muy Alta",P81="Menor"),AND(L81="Muy Alta",P81="Moderado"),AND(L81="Muy Alta",P81="Mayor")),"Alto",IF(OR(AND(L81="Muy Baja",P81="Catastrófico"),AND(L81="Baja",P81="Catastrófico"),AND(L81="Media",P81="Catastrófico"),AND(L81="Alta",P81="Catastrófico"),AND(L81="Muy Alta",P81="Catastrófico")),"Extremo",""))))</f>
        <v>Moderado</v>
      </c>
      <c r="S81" s="235">
        <v>1</v>
      </c>
      <c r="T81" s="323" t="s">
        <v>897</v>
      </c>
      <c r="U81" s="305" t="s">
        <v>293</v>
      </c>
      <c r="V81" s="307" t="str">
        <f>IF(OR(W81="Preventivo",W81="Detectivo"),"Probabilidad",IF(W81="Correctivo","Impacto",""))</f>
        <v>Probabilidad</v>
      </c>
      <c r="W81" s="259" t="s">
        <v>14</v>
      </c>
      <c r="X81" s="259" t="s">
        <v>8</v>
      </c>
      <c r="Y81" s="260" t="str">
        <f t="shared" si="152"/>
        <v>30%</v>
      </c>
      <c r="Z81" s="259" t="s">
        <v>18</v>
      </c>
      <c r="AA81" s="259" t="s">
        <v>21</v>
      </c>
      <c r="AB81" s="259" t="s">
        <v>103</v>
      </c>
      <c r="AC81" s="261">
        <f t="shared" ref="AC81" si="165">IFERROR(IF(V81="Probabilidad",(M81-(+M81*Y81)),IF(V81="Impacto",M81,"")),"")</f>
        <v>0.42</v>
      </c>
      <c r="AD81" s="262" t="str">
        <f>IFERROR(IF(AC81="","",IF(AC81&lt;=0.2,"Muy Baja",IF(AC81&lt;=0.4,"Baja",IF(AC81&lt;=0.6,"Media",IF(AC81&lt;=0.8,"Alta","Muy Alta"))))),"")</f>
        <v>Media</v>
      </c>
      <c r="AE81" s="260">
        <f>+AC81</f>
        <v>0.42</v>
      </c>
      <c r="AF81" s="262" t="str">
        <f t="shared" si="154"/>
        <v>Moderado</v>
      </c>
      <c r="AG81" s="260">
        <f>IFERROR(IF(V81="Impacto",(Q81-(+Q81*Y81)),IF(V81="Probabilidad",Q81,"")),"")</f>
        <v>0.6</v>
      </c>
      <c r="AH81" s="264" t="str">
        <f>IFERROR(IF(OR(AND(AD81="Muy Baja",AF81="Leve"),AND(AD81="Muy Baja",AF81="Menor"),AND(AD81="Baja",AF81="Leve")),"Bajo",IF(OR(AND(AD81="Muy baja",AF81="Moderado"),AND(AD81="Baja",AF81="Menor"),AND(AD81="Baja",AF81="Moderado"),AND(AD81="Media",AF81="Leve"),AND(AD81="Media",AF81="Menor"),AND(AD81="Media",AF81="Moderado"),AND(AD81="Alta",AF81="Leve"),AND(AD81="Alta",AF81="Menor")),"Moderado",IF(OR(AND(AD81="Muy Baja",AF81="Mayor"),AND(AD81="Baja",AF81="Mayor"),AND(AD81="Media",AF81="Mayor"),AND(AD81="Alta",AF81="Moderado"),AND(AD81="Alta",AF81="Mayor"),AND(AD81="Muy Alta",AF81="Leve"),AND(AD81="Muy Alta",AF81="Menor"),AND(AD81="Muy Alta",AF81="Moderado"),AND(AD81="Muy Alta",AF81="Mayor")),"Alto",IF(OR(AND(AD81="Muy Baja",AF81="Catastrófico"),AND(AD81="Baja",AF81="Catastrófico"),AND(AD81="Media",AF81="Catastrófico"),AND(AD81="Alta",AF81="Catastrófico"),AND(AD81="Muy Alta",AF81="Catastrófico")),"Extremo","")))),"")</f>
        <v>Moderado</v>
      </c>
      <c r="AI81" s="259" t="s">
        <v>26</v>
      </c>
      <c r="AJ81" s="236">
        <v>4</v>
      </c>
      <c r="AK81" s="236">
        <v>1</v>
      </c>
      <c r="AL81" s="236">
        <v>1</v>
      </c>
      <c r="AM81" s="236">
        <v>2</v>
      </c>
      <c r="AN81" s="232"/>
      <c r="AO81" s="231"/>
      <c r="AP81" s="231"/>
      <c r="AQ81" s="232"/>
      <c r="AR81" s="233"/>
      <c r="AS81" s="233"/>
      <c r="AT81" s="182"/>
      <c r="AU81" s="251"/>
      <c r="AV81" s="251"/>
      <c r="AW81" s="251"/>
      <c r="AX81" s="251"/>
      <c r="AY81" s="251"/>
      <c r="AZ81" s="251"/>
      <c r="BA81" s="251"/>
      <c r="BB81" s="251"/>
      <c r="BC81" s="251"/>
      <c r="BD81" s="251"/>
      <c r="BE81" s="251"/>
      <c r="BF81" s="251"/>
      <c r="BG81" s="251"/>
      <c r="BH81" s="251"/>
      <c r="BI81" s="251"/>
      <c r="BJ81" s="251"/>
      <c r="BK81" s="251"/>
      <c r="BL81" s="251"/>
      <c r="BM81" s="251"/>
      <c r="BN81" s="251"/>
      <c r="BO81" s="251"/>
      <c r="BP81" s="251"/>
      <c r="BQ81" s="251"/>
      <c r="BR81" s="251"/>
      <c r="BS81" s="251"/>
      <c r="BT81" s="251"/>
      <c r="BU81" s="251"/>
      <c r="BV81" s="251"/>
      <c r="BW81" s="251"/>
      <c r="BX81" s="251"/>
      <c r="BY81" s="251"/>
      <c r="BZ81" s="251"/>
    </row>
    <row r="82" spans="1:78" s="252" customFormat="1" ht="93" customHeight="1" x14ac:dyDescent="0.2">
      <c r="A82" s="281" t="s">
        <v>722</v>
      </c>
      <c r="B82" s="282" t="s">
        <v>753</v>
      </c>
      <c r="C82" s="211" t="s">
        <v>613</v>
      </c>
      <c r="D82" s="244" t="s">
        <v>624</v>
      </c>
      <c r="E82" s="244" t="s">
        <v>107</v>
      </c>
      <c r="F82" s="306" t="s">
        <v>1073</v>
      </c>
      <c r="G82" s="306" t="s">
        <v>1080</v>
      </c>
      <c r="H82" s="306" t="s">
        <v>1068</v>
      </c>
      <c r="I82" s="245" t="s">
        <v>654</v>
      </c>
      <c r="J82" s="245" t="s">
        <v>746</v>
      </c>
      <c r="K82" s="247">
        <v>85</v>
      </c>
      <c r="L82" s="284" t="str">
        <f t="shared" ref="L82" si="166">IF(K82&lt;=0,"",IF(K82&lt;=2,"Muy Baja",IF(K82&lt;=24,"Baja",IF(K82&lt;=500,"Media",IF(K82&lt;=5000,"Alta","Muy Alta")))))</f>
        <v>Media</v>
      </c>
      <c r="M82" s="248">
        <f>IF(L82="","",IF(L82="Muy Baja",0.2,IF(L82="Baja",0.4,IF(L82="Media",0.6,IF(L82="Alta",0.8,IF(L82="Muy Alta",1,))))))</f>
        <v>0.6</v>
      </c>
      <c r="N82" s="285" t="s">
        <v>121</v>
      </c>
      <c r="O82" s="248" t="str">
        <f>IF(NOT(ISERROR(MATCH(N82,'Tabla Impacto'!$B$221:$B$223,0))),'Tabla Impacto'!$F$223&amp;"Por favor no seleccionar los criterios de impacto(Afectación Económica o presupuestal y Pérdida Reputacional)",N82)</f>
        <v xml:space="preserve">     El riesgo afecta la imagen de la entidad con algunos usuarios de relevancia frente al logro de los objetivos</v>
      </c>
      <c r="P82" s="284" t="str">
        <f>IF(OR(O82='Tabla Impacto'!$C$11,O82='Tabla Impacto'!$D$11),"Leve",IF(OR(O82='Tabla Impacto'!$C$12,O82='Tabla Impacto'!$D$12),"Menor",IF(OR(O82='Tabla Impacto'!$C$13,O82='Tabla Impacto'!$D$13),"Moderado",IF(OR(O82='Tabla Impacto'!$C$14,O82='Tabla Impacto'!$D$14),"Mayor",IF(OR(O82='Tabla Impacto'!$C$15,O82='Tabla Impacto'!$D$15),"Catastrófico","")))))</f>
        <v>Moderado</v>
      </c>
      <c r="Q82" s="248">
        <f>IF(P82="","",IF(P82="Leve",0.2,IF(P82="Menor",0.4,IF(P82="Moderado",0.6,IF(P82="Mayor",0.8,IF(P82="Catastrófico",1,))))))</f>
        <v>0.6</v>
      </c>
      <c r="R82" s="280" t="str">
        <f>IF(OR(AND(L82="Muy Baja",P82="Leve"),AND(L82="Muy Baja",P82="Menor"),AND(L82="Baja",P82="Leve")),"Bajo",IF(OR(AND(L82="Muy baja",P82="Moderado"),AND(L82="Baja",P82="Menor"),AND(L82="Baja",P82="Moderado"),AND(L82="Media",P82="Leve"),AND(L82="Media",P82="Menor"),AND(L82="Media",P82="Moderado"),AND(L82="Alta",P82="Leve"),AND(L82="Alta",P82="Menor")),"Moderado",IF(OR(AND(L82="Muy Baja",P82="Mayor"),AND(L82="Baja",P82="Mayor"),AND(L82="Media",P82="Mayor"),AND(L82="Alta",P82="Moderado"),AND(L82="Alta",P82="Mayor"),AND(L82="Muy Alta",P82="Leve"),AND(L82="Muy Alta",P82="Menor"),AND(L82="Muy Alta",P82="Moderado"),AND(L82="Muy Alta",P82="Mayor")),"Alto",IF(OR(AND(L82="Muy Baja",P82="Catastrófico"),AND(L82="Baja",P82="Catastrófico"),AND(L82="Media",P82="Catastrófico"),AND(L82="Alta",P82="Catastrófico"),AND(L82="Muy Alta",P82="Catastrófico")),"Extremo",""))))</f>
        <v>Moderado</v>
      </c>
      <c r="S82" s="235">
        <v>1</v>
      </c>
      <c r="T82" s="322" t="s">
        <v>906</v>
      </c>
      <c r="U82" s="305" t="s">
        <v>293</v>
      </c>
      <c r="V82" s="307" t="str">
        <f>IF(OR(W82="Preventivo",W82="Detectivo"),"Probabilidad",IF(W82="Correctivo","Impacto",""))</f>
        <v>Probabilidad</v>
      </c>
      <c r="W82" s="259" t="s">
        <v>13</v>
      </c>
      <c r="X82" s="259" t="s">
        <v>8</v>
      </c>
      <c r="Y82" s="260" t="str">
        <f t="shared" si="152"/>
        <v>40%</v>
      </c>
      <c r="Z82" s="259" t="s">
        <v>19</v>
      </c>
      <c r="AA82" s="259" t="s">
        <v>21</v>
      </c>
      <c r="AB82" s="259" t="s">
        <v>103</v>
      </c>
      <c r="AC82" s="261">
        <f t="shared" ref="AC82" si="167">IFERROR(IF(V82="Probabilidad",(M82-(+M82*Y82)),IF(V82="Impacto",M82,"")),"")</f>
        <v>0.36</v>
      </c>
      <c r="AD82" s="262" t="str">
        <f>IFERROR(IF(AC82="","",IF(AC82&lt;=0.2,"Muy Baja",IF(AC82&lt;=0.4,"Baja",IF(AC82&lt;=0.6,"Media",IF(AC82&lt;=0.8,"Alta","Muy Alta"))))),"")</f>
        <v>Baja</v>
      </c>
      <c r="AE82" s="260">
        <f>+AC82</f>
        <v>0.36</v>
      </c>
      <c r="AF82" s="262" t="str">
        <f t="shared" si="154"/>
        <v>Moderado</v>
      </c>
      <c r="AG82" s="260">
        <f>IFERROR(IF(V82="Impacto",(Q82-(+Q82*Y82)),IF(V82="Probabilidad",Q82,"")),"")</f>
        <v>0.6</v>
      </c>
      <c r="AH82" s="264" t="str">
        <f>IFERROR(IF(OR(AND(AD82="Muy Baja",AF82="Leve"),AND(AD82="Muy Baja",AF82="Menor"),AND(AD82="Baja",AF82="Leve")),"Bajo",IF(OR(AND(AD82="Muy baja",AF82="Moderado"),AND(AD82="Baja",AF82="Menor"),AND(AD82="Baja",AF82="Moderado"),AND(AD82="Media",AF82="Leve"),AND(AD82="Media",AF82="Menor"),AND(AD82="Media",AF82="Moderado"),AND(AD82="Alta",AF82="Leve"),AND(AD82="Alta",AF82="Menor")),"Moderado",IF(OR(AND(AD82="Muy Baja",AF82="Mayor"),AND(AD82="Baja",AF82="Mayor"),AND(AD82="Media",AF82="Mayor"),AND(AD82="Alta",AF82="Moderado"),AND(AD82="Alta",AF82="Mayor"),AND(AD82="Muy Alta",AF82="Leve"),AND(AD82="Muy Alta",AF82="Menor"),AND(AD82="Muy Alta",AF82="Moderado"),AND(AD82="Muy Alta",AF82="Mayor")),"Alto",IF(OR(AND(AD82="Muy Baja",AF82="Catastrófico"),AND(AD82="Baja",AF82="Catastrófico"),AND(AD82="Media",AF82="Catastrófico"),AND(AD82="Alta",AF82="Catastrófico"),AND(AD82="Muy Alta",AF82="Catastrófico")),"Extremo","")))),"")</f>
        <v>Moderado</v>
      </c>
      <c r="AI82" s="259" t="s">
        <v>26</v>
      </c>
      <c r="AJ82" s="236">
        <v>15</v>
      </c>
      <c r="AK82" s="236">
        <v>5</v>
      </c>
      <c r="AL82" s="236">
        <v>5</v>
      </c>
      <c r="AM82" s="236">
        <v>5</v>
      </c>
      <c r="AN82" s="232"/>
      <c r="AO82" s="231"/>
      <c r="AP82" s="231"/>
      <c r="AQ82" s="232"/>
      <c r="AR82" s="233"/>
      <c r="AS82" s="233"/>
      <c r="AT82" s="182"/>
      <c r="AU82" s="251"/>
      <c r="AV82" s="251"/>
      <c r="AW82" s="251"/>
      <c r="AX82" s="251"/>
      <c r="AY82" s="251"/>
      <c r="AZ82" s="251"/>
      <c r="BA82" s="251"/>
      <c r="BB82" s="251"/>
      <c r="BC82" s="251"/>
      <c r="BD82" s="251"/>
      <c r="BE82" s="251"/>
      <c r="BF82" s="251"/>
      <c r="BG82" s="251"/>
      <c r="BH82" s="251"/>
      <c r="BI82" s="251"/>
      <c r="BJ82" s="251"/>
      <c r="BK82" s="251"/>
      <c r="BL82" s="251"/>
      <c r="BM82" s="251"/>
      <c r="BN82" s="251"/>
      <c r="BO82" s="251"/>
      <c r="BP82" s="251"/>
      <c r="BQ82" s="251"/>
      <c r="BR82" s="251"/>
      <c r="BS82" s="251"/>
      <c r="BT82" s="251"/>
      <c r="BU82" s="251"/>
      <c r="BV82" s="251"/>
      <c r="BW82" s="251"/>
      <c r="BX82" s="251"/>
      <c r="BY82" s="251"/>
      <c r="BZ82" s="251"/>
    </row>
    <row r="83" spans="1:78" s="252" customFormat="1" ht="99.75" customHeight="1" x14ac:dyDescent="0.2">
      <c r="A83" s="281" t="s">
        <v>723</v>
      </c>
      <c r="B83" s="282" t="s">
        <v>753</v>
      </c>
      <c r="C83" s="211" t="s">
        <v>613</v>
      </c>
      <c r="D83" s="244" t="s">
        <v>619</v>
      </c>
      <c r="E83" s="244" t="s">
        <v>107</v>
      </c>
      <c r="F83" s="306" t="s">
        <v>724</v>
      </c>
      <c r="G83" s="306" t="s">
        <v>673</v>
      </c>
      <c r="H83" s="306" t="s">
        <v>747</v>
      </c>
      <c r="I83" s="245" t="s">
        <v>654</v>
      </c>
      <c r="J83" s="245" t="s">
        <v>748</v>
      </c>
      <c r="K83" s="247">
        <v>15</v>
      </c>
      <c r="L83" s="284" t="str">
        <f t="shared" ref="L83" si="168">IF(K83&lt;=0,"",IF(K83&lt;=2,"Muy Baja",IF(K83&lt;=24,"Baja",IF(K83&lt;=500,"Media",IF(K83&lt;=5000,"Alta","Muy Alta")))))</f>
        <v>Baja</v>
      </c>
      <c r="M83" s="248">
        <f>IF(L83="","",IF(L83="Muy Baja",0.2,IF(L83="Baja",0.4,IF(L83="Media",0.6,IF(L83="Alta",0.8,IF(L83="Muy Alta",1,))))))</f>
        <v>0.4</v>
      </c>
      <c r="N83" s="285" t="s">
        <v>811</v>
      </c>
      <c r="O83" s="248" t="str">
        <f>IF(NOT(ISERROR(MATCH(N83,'Tabla Impacto'!$B$221:$B$223,0))),'Tabla Impacto'!$F$223&amp;"Por favor no seleccionar los criterios de impacto(Afectación Económica o presupuestal y Pérdida Reputacional)",N83)</f>
        <v xml:space="preserve">     El riesgo afecta la imagen de la entidad internamente, de conocimiento general, nivel interno, de junta directiva y accionistas y/o de proveedores</v>
      </c>
      <c r="P83" s="284" t="s">
        <v>846</v>
      </c>
      <c r="Q83" s="248">
        <f>IF(P83="","",IF(P83="Leve",0.2,IF(P83="Menor",0.4,IF(P83="Moderado",0.6,IF(P83="Mayor",0.8,IF(P83="Catastrófico",1,))))))</f>
        <v>0.4</v>
      </c>
      <c r="R83" s="280" t="str">
        <f>IF(OR(AND(L83="Muy Baja",P83="Leve"),AND(L83="Muy Baja",P83="Menor"),AND(L83="Baja",P83="Leve")),"Bajo",IF(OR(AND(L83="Muy baja",P83="Moderado"),AND(L83="Baja",P83="Menor"),AND(L83="Baja",P83="Moderado"),AND(L83="Media",P83="Leve"),AND(L83="Media",P83="Menor"),AND(L83="Media",P83="Moderado"),AND(L83="Alta",P83="Leve"),AND(L83="Alta",P83="Menor")),"Moderado",IF(OR(AND(L83="Muy Baja",P83="Mayor"),AND(L83="Baja",P83="Mayor"),AND(L83="Media",P83="Mayor"),AND(L83="Alta",P83="Moderado"),AND(L83="Alta",P83="Mayor"),AND(L83="Muy Alta",P83="Leve"),AND(L83="Muy Alta",P83="Menor"),AND(L83="Muy Alta",P83="Moderado"),AND(L83="Muy Alta",P83="Mayor")),"Alto",IF(OR(AND(L83="Muy Baja",P83="Catastrófico"),AND(L83="Baja",P83="Catastrófico"),AND(L83="Media",P83="Catastrófico"),AND(L83="Alta",P83="Catastrófico"),AND(L83="Muy Alta",P83="Catastrófico")),"Extremo",""))))</f>
        <v>Moderado</v>
      </c>
      <c r="S83" s="235">
        <v>1</v>
      </c>
      <c r="T83" s="322" t="s">
        <v>749</v>
      </c>
      <c r="U83" s="305" t="s">
        <v>293</v>
      </c>
      <c r="V83" s="307" t="str">
        <f>IF(OR(W83="Preventivo",W83="Detectivo"),"Probabilidad",IF(W83="Correctivo","Impacto",""))</f>
        <v>Probabilidad</v>
      </c>
      <c r="W83" s="259" t="s">
        <v>13</v>
      </c>
      <c r="X83" s="259" t="s">
        <v>8</v>
      </c>
      <c r="Y83" s="260" t="str">
        <f t="shared" si="152"/>
        <v>40%</v>
      </c>
      <c r="Z83" s="259" t="s">
        <v>18</v>
      </c>
      <c r="AA83" s="259" t="s">
        <v>21</v>
      </c>
      <c r="AB83" s="259" t="s">
        <v>103</v>
      </c>
      <c r="AC83" s="261">
        <f t="shared" ref="AC83" si="169">IFERROR(IF(V83="Probabilidad",(M83-(+M83*Y83)),IF(V83="Impacto",M83,"")),"")</f>
        <v>0.24</v>
      </c>
      <c r="AD83" s="262" t="str">
        <f>IFERROR(IF(AC83="","",IF(AC83&lt;=0.2,"Muy Baja",IF(AC83&lt;=0.4,"Baja",IF(AC83&lt;=0.6,"Media",IF(AC83&lt;=0.8,"Alta","Muy Alta"))))),"")</f>
        <v>Baja</v>
      </c>
      <c r="AE83" s="260">
        <f>+AC83</f>
        <v>0.24</v>
      </c>
      <c r="AF83" s="262" t="str">
        <f t="shared" si="154"/>
        <v>Menor</v>
      </c>
      <c r="AG83" s="263">
        <f>IFERROR(IF(V83="Impacto",(Q83-(+Q83*Y83)),IF(V83="Probabilidad",Q83,"")),"")</f>
        <v>0.4</v>
      </c>
      <c r="AH83" s="264" t="str">
        <f>IFERROR(IF(OR(AND(AD83="Muy Baja",AF83="Leve"),AND(AD83="Muy Baja",AF83="Menor"),AND(AD83="Baja",AF83="Leve")),"Bajo",IF(OR(AND(AD83="Muy baja",AF83="Moderado"),AND(AD83="Baja",AF83="Menor"),AND(AD83="Baja",AF83="Moderado"),AND(AD83="Media",AF83="Leve"),AND(AD83="Media",AF83="Menor"),AND(AD83="Media",AF83="Moderado"),AND(AD83="Alta",AF83="Leve"),AND(AD83="Alta",AF83="Menor")),"Moderado",IF(OR(AND(AD83="Muy Baja",AF83="Mayor"),AND(AD83="Baja",AF83="Mayor"),AND(AD83="Media",AF83="Mayor"),AND(AD83="Alta",AF83="Moderado"),AND(AD83="Alta",AF83="Mayor"),AND(AD83="Muy Alta",AF83="Leve"),AND(AD83="Muy Alta",AF83="Menor"),AND(AD83="Muy Alta",AF83="Moderado"),AND(AD83="Muy Alta",AF83="Mayor")),"Alto",IF(OR(AND(AD83="Muy Baja",AF83="Catastrófico"),AND(AD83="Baja",AF83="Catastrófico"),AND(AD83="Media",AF83="Catastrófico"),AND(AD83="Alta",AF83="Catastrófico"),AND(AD83="Muy Alta",AF83="Catastrófico")),"Extremo","")))),"")</f>
        <v>Moderado</v>
      </c>
      <c r="AI83" s="259" t="s">
        <v>26</v>
      </c>
      <c r="AJ83" s="236">
        <v>2</v>
      </c>
      <c r="AK83" s="236">
        <v>0</v>
      </c>
      <c r="AL83" s="236">
        <v>1</v>
      </c>
      <c r="AM83" s="236">
        <v>1</v>
      </c>
      <c r="AN83" s="232"/>
      <c r="AO83" s="231"/>
      <c r="AP83" s="231"/>
      <c r="AQ83" s="232"/>
      <c r="AR83" s="233"/>
      <c r="AS83" s="233"/>
      <c r="AT83" s="182"/>
      <c r="AU83" s="251"/>
      <c r="AV83" s="251"/>
      <c r="AW83" s="251"/>
      <c r="AX83" s="251"/>
      <c r="AY83" s="251"/>
      <c r="AZ83" s="251"/>
      <c r="BA83" s="251"/>
      <c r="BB83" s="251"/>
      <c r="BC83" s="251"/>
      <c r="BD83" s="251"/>
      <c r="BE83" s="251"/>
      <c r="BF83" s="251"/>
      <c r="BG83" s="251"/>
      <c r="BH83" s="251"/>
      <c r="BI83" s="251"/>
      <c r="BJ83" s="251"/>
      <c r="BK83" s="251"/>
      <c r="BL83" s="251"/>
      <c r="BM83" s="251"/>
      <c r="BN83" s="251"/>
      <c r="BO83" s="251"/>
      <c r="BP83" s="251"/>
      <c r="BQ83" s="251"/>
      <c r="BR83" s="251"/>
      <c r="BS83" s="251"/>
      <c r="BT83" s="251"/>
      <c r="BU83" s="251"/>
      <c r="BV83" s="251"/>
      <c r="BW83" s="251"/>
      <c r="BX83" s="251"/>
      <c r="BY83" s="251"/>
      <c r="BZ83" s="251"/>
    </row>
    <row r="84" spans="1:78" s="252" customFormat="1" ht="140.25" customHeight="1" x14ac:dyDescent="0.2">
      <c r="A84" s="300" t="s">
        <v>728</v>
      </c>
      <c r="B84" s="299" t="s">
        <v>753</v>
      </c>
      <c r="C84" s="298" t="s">
        <v>288</v>
      </c>
      <c r="D84" s="297" t="s">
        <v>620</v>
      </c>
      <c r="E84" s="296" t="s">
        <v>109</v>
      </c>
      <c r="F84" s="325" t="s">
        <v>802</v>
      </c>
      <c r="G84" s="325" t="s">
        <v>673</v>
      </c>
      <c r="H84" s="325" t="s">
        <v>684</v>
      </c>
      <c r="I84" s="296" t="s">
        <v>660</v>
      </c>
      <c r="J84" s="296" t="s">
        <v>685</v>
      </c>
      <c r="K84" s="302">
        <v>120</v>
      </c>
      <c r="L84" s="294" t="str">
        <f>IF(K84&lt;=0,"",IF(K84&lt;=2,"Muy Baja",IF(K84&lt;=24,"Baja",IF(K84&lt;=500,"Media",IF(K84&lt;=5000,"Alta","Muy Alta")))))</f>
        <v>Media</v>
      </c>
      <c r="M84" s="301">
        <f>IF(L84="","",IF(L84="Muy Baja",0.2,IF(L84="Baja",0.4,IF(L84="Media",0.6,IF(L84="Alta",0.8,IF(L84="Muy Alta",1,))))))</f>
        <v>0.6</v>
      </c>
      <c r="N84" s="293" t="s">
        <v>121</v>
      </c>
      <c r="O84" s="248" t="str">
        <f>IF(NOT(ISERROR(MATCH(N84,'Tabla Impacto'!$B$221:$B$223,0))),'Tabla Impacto'!$F$223&amp;"Por favor no seleccionar los criterios de impacto(Afectación Económica o presupuestal y Pérdida Reputacional)",N84)</f>
        <v xml:space="preserve">     El riesgo afecta la imagen de la entidad con algunos usuarios de relevancia frente al logro de los objetivos</v>
      </c>
      <c r="P84" s="294" t="str">
        <f>IF(OR(O84='Tabla Impacto'!$C$11,O84='Tabla Impacto'!$D$11),"Leve",IF(OR(O84='Tabla Impacto'!$C$12,O84='Tabla Impacto'!$D$12),"Menor",IF(OR(O84='Tabla Impacto'!$C$13,O84='Tabla Impacto'!$D$13),"Moderado",IF(OR(O84='Tabla Impacto'!$C$14,O84='Tabla Impacto'!$D$14),"Mayor",IF(OR(O84='Tabla Impacto'!$C$15,O84='Tabla Impacto'!$D$15),"Catastrófico","")))))</f>
        <v>Moderado</v>
      </c>
      <c r="Q84" s="301">
        <f>IF(P84="","",IF(P84="Leve",0.2,IF(P84="Menor",0.4,IF(P84="Moderado",0.6,IF(P84="Mayor",0.8,IF(P84="Catastrófico",1,))))))</f>
        <v>0.6</v>
      </c>
      <c r="R84" s="295" t="str">
        <f>IF(OR(AND(L84="Muy Baja",P84="Leve"),AND(L84="Muy Baja",P84="Menor"),AND(L84="Baja",P84="Leve")),"Bajo",IF(OR(AND(L84="Muy baja",P84="Moderado"),AND(L84="Baja",P84="Menor"),AND(L84="Baja",P84="Moderado"),AND(L84="Media",P84="Leve"),AND(L84="Media",P84="Menor"),AND(L84="Media",P84="Moderado"),AND(L84="Alta",P84="Leve"),AND(L84="Alta",P84="Menor")),"Moderado",IF(OR(AND(L84="Muy Baja",P84="Mayor"),AND(L84="Baja",P84="Mayor"),AND(L84="Media",P84="Mayor"),AND(L84="Alta",P84="Moderado"),AND(L84="Alta",P84="Mayor"),AND(L84="Muy Alta",P84="Leve"),AND(L84="Muy Alta",P84="Menor"),AND(L84="Muy Alta",P84="Moderado"),AND(L84="Muy Alta",P84="Mayor")),"Alto",IF(OR(AND(L84="Muy Baja",P84="Catastrófico"),AND(L84="Baja",P84="Catastrófico"),AND(L84="Media",P84="Catastrófico"),AND(L84="Alta",P84="Catastrófico"),AND(L84="Muy Alta",P84="Catastrófico")),"Extremo",""))))</f>
        <v>Moderado</v>
      </c>
      <c r="S84" s="235">
        <v>1</v>
      </c>
      <c r="T84" s="306" t="s">
        <v>1095</v>
      </c>
      <c r="U84" s="245" t="s">
        <v>292</v>
      </c>
      <c r="V84" s="307" t="str">
        <f t="shared" ref="V84" si="170">IF(OR(W84="Preventivo",W84="Detectivo"),"Probabilidad",IF(W84="Correctivo","Impacto",""))</f>
        <v>Probabilidad</v>
      </c>
      <c r="W84" s="259" t="s">
        <v>13</v>
      </c>
      <c r="X84" s="259" t="s">
        <v>8</v>
      </c>
      <c r="Y84" s="260" t="str">
        <f t="shared" si="152"/>
        <v>40%</v>
      </c>
      <c r="Z84" s="259" t="s">
        <v>18</v>
      </c>
      <c r="AA84" s="259" t="s">
        <v>21</v>
      </c>
      <c r="AB84" s="259" t="s">
        <v>103</v>
      </c>
      <c r="AC84" s="261">
        <f t="shared" ref="AC84" si="171">IFERROR(IF(V84="Probabilidad",(M84-(+M84*Y84)),IF(V84="Impacto",M84,"")),"")</f>
        <v>0.36</v>
      </c>
      <c r="AD84" s="262" t="str">
        <f t="shared" ref="AD84" si="172">IFERROR(IF(AC84="","",IF(AC84&lt;=0.2,"Muy Baja",IF(AC84&lt;=0.4,"Baja",IF(AC84&lt;=0.6,"Media",IF(AC84&lt;=0.8,"Alta","Muy Alta"))))),"")</f>
        <v>Baja</v>
      </c>
      <c r="AE84" s="260">
        <f t="shared" ref="AE84" si="173">+AC84</f>
        <v>0.36</v>
      </c>
      <c r="AF84" s="262" t="str">
        <f t="shared" si="154"/>
        <v>Moderado</v>
      </c>
      <c r="AG84" s="260">
        <f>IFERROR(IF(V84="Impacto",(Q84-(+Q84*Y84)),IF(V84="Probabilidad",Q84,"")),"")</f>
        <v>0.6</v>
      </c>
      <c r="AH84" s="264" t="str">
        <f>IFERROR(IF(OR(AND(AD84="Muy Baja",AF84="Leve"),AND(AD84="Muy Baja",AF84="Menor"),AND(AD84="Baja",AF84="Leve")),"Bajo",IF(OR(AND(AD84="Muy baja",AF84="Moderado"),AND(AD84="Baja",AF84="Menor"),AND(AD84="Baja",AF84="Moderado"),AND(AD84="Media",AF84="Leve"),AND(AD84="Media",AF84="Menor"),AND(AD84="Media",AF84="Moderado"),AND(AD84="Alta",AF84="Leve"),AND(AD84="Alta",AF84="Menor")),"Moderado",IF(OR(AND(AD84="Muy Baja",AF84="Mayor"),AND(AD84="Baja",AF84="Mayor"),AND(AD84="Media",AF84="Mayor"),AND(AD84="Alta",AF84="Moderado"),AND(AD84="Alta",AF84="Mayor"),AND(AD84="Muy Alta",AF84="Leve"),AND(AD84="Muy Alta",AF84="Menor"),AND(AD84="Muy Alta",AF84="Moderado"),AND(AD84="Muy Alta",AF84="Mayor")),"Alto",IF(OR(AND(AD84="Muy Baja",AF84="Catastrófico"),AND(AD84="Baja",AF84="Catastrófico"),AND(AD84="Media",AF84="Catastrófico"),AND(AD84="Alta",AF84="Catastrófico"),AND(AD84="Muy Alta",AF84="Catastrófico")),"Extremo","")))),"")</f>
        <v>Moderado</v>
      </c>
      <c r="AI84" s="259" t="s">
        <v>26</v>
      </c>
      <c r="AJ84" s="236">
        <v>3</v>
      </c>
      <c r="AK84" s="236">
        <v>1</v>
      </c>
      <c r="AL84" s="236">
        <v>1</v>
      </c>
      <c r="AM84" s="236">
        <v>1</v>
      </c>
      <c r="AN84" s="232"/>
      <c r="AO84" s="231"/>
      <c r="AP84" s="231"/>
      <c r="AQ84" s="232"/>
      <c r="AR84" s="233"/>
      <c r="AS84" s="233"/>
      <c r="AT84" s="182"/>
      <c r="AU84" s="251"/>
      <c r="AV84" s="251"/>
      <c r="AW84" s="251"/>
      <c r="AX84" s="251"/>
      <c r="AY84" s="251"/>
      <c r="AZ84" s="251"/>
      <c r="BA84" s="251"/>
      <c r="BB84" s="251"/>
      <c r="BC84" s="251"/>
      <c r="BD84" s="251"/>
      <c r="BE84" s="251"/>
      <c r="BF84" s="251"/>
      <c r="BG84" s="251"/>
      <c r="BH84" s="251"/>
      <c r="BI84" s="251"/>
      <c r="BJ84" s="251"/>
      <c r="BK84" s="251"/>
      <c r="BL84" s="251"/>
      <c r="BM84" s="251"/>
      <c r="BN84" s="251"/>
      <c r="BO84" s="251"/>
      <c r="BP84" s="251"/>
      <c r="BQ84" s="251"/>
      <c r="BR84" s="251"/>
      <c r="BS84" s="251"/>
      <c r="BT84" s="251"/>
      <c r="BU84" s="251"/>
      <c r="BV84" s="251"/>
      <c r="BW84" s="251"/>
      <c r="BX84" s="251"/>
      <c r="BY84" s="251"/>
      <c r="BZ84" s="251"/>
    </row>
    <row r="85" spans="1:78" s="277" customFormat="1" ht="138.75" customHeight="1" x14ac:dyDescent="0.2">
      <c r="A85" s="281" t="s">
        <v>950</v>
      </c>
      <c r="B85" s="282" t="s">
        <v>753</v>
      </c>
      <c r="C85" s="211" t="s">
        <v>610</v>
      </c>
      <c r="D85" s="244" t="s">
        <v>624</v>
      </c>
      <c r="E85" s="244" t="s">
        <v>109</v>
      </c>
      <c r="F85" s="324" t="s">
        <v>951</v>
      </c>
      <c r="G85" s="306" t="s">
        <v>673</v>
      </c>
      <c r="H85" s="306" t="s">
        <v>952</v>
      </c>
      <c r="I85" s="245" t="s">
        <v>660</v>
      </c>
      <c r="J85" s="245" t="s">
        <v>953</v>
      </c>
      <c r="K85" s="247">
        <v>50</v>
      </c>
      <c r="L85" s="284" t="str">
        <f t="shared" ref="L85" si="174">IF(K85&lt;=0,"",IF(K85&lt;=2,"Muy Baja",IF(K85&lt;=24,"Baja",IF(K85&lt;=500,"Media",IF(K85&lt;=5000,"Alta","Muy Alta")))))</f>
        <v>Media</v>
      </c>
      <c r="M85" s="248">
        <f>IF(L85="","",IF(L85="Muy Baja",0.2,IF(L85="Baja",0.4,IF(L85="Media",0.6,IF(L85="Alta",0.8,IF(L85="Muy Alta",1,))))))</f>
        <v>0.6</v>
      </c>
      <c r="N85" s="285" t="s">
        <v>115</v>
      </c>
      <c r="O85" s="248" t="s">
        <v>115</v>
      </c>
      <c r="P85" s="284" t="s">
        <v>67</v>
      </c>
      <c r="Q85" s="248">
        <f>IF(P85="","",IF(P85="Leve",0.2,IF(P85="Menor",0.4,IF(P85="Moderado",0.6,IF(P85="Mayor",0.8,IF(P85="Catastrófico",1,))))))</f>
        <v>0.6</v>
      </c>
      <c r="R85" s="280" t="str">
        <f>IF(OR(AND(L85="Muy Baja",P85="Leve"),AND(L85="Muy Baja",P85="Menor"),AND(L85="Baja",P85="Leve")),"Bajo",IF(OR(AND(L85="Muy baja",P85="Moderado"),AND(L85="Baja",P85="Menor"),AND(L85="Baja",P85="Moderado"),AND(L85="Media",P85="Leve"),AND(L85="Media",P85="Menor"),AND(L85="Media",P85="Moderado"),AND(L85="Alta",P85="Leve"),AND(L85="Alta",P85="Menor")),"Moderado",IF(OR(AND(L85="Muy Baja",P85="Mayor"),AND(L85="Baja",P85="Mayor"),AND(L85="Media",P85="Mayor"),AND(L85="Alta",P85="Moderado"),AND(L85="Alta",P85="Mayor"),AND(L85="Muy Alta",P85="Leve"),AND(L85="Muy Alta",P85="Menor"),AND(L85="Muy Alta",P85="Moderado"),AND(L85="Muy Alta",P85="Mayor")),"Alto",IF(OR(AND(L85="Muy Baja",P85="Catastrófico"),AND(L85="Baja",P85="Catastrófico"),AND(L85="Media",P85="Catastrófico"),AND(L85="Alta",P85="Catastrófico"),AND(L85="Muy Alta",P85="Catastrófico")),"Extremo",""))))</f>
        <v>Moderado</v>
      </c>
      <c r="S85" s="235">
        <v>1</v>
      </c>
      <c r="T85" s="306" t="s">
        <v>954</v>
      </c>
      <c r="U85" s="245" t="s">
        <v>292</v>
      </c>
      <c r="V85" s="307" t="str">
        <f>IF(OR(W85="Preventivo",W85="Detectivo"),"Probabilidad",IF(W85="Correctivo","Impacto",""))</f>
        <v>Probabilidad</v>
      </c>
      <c r="W85" s="259" t="s">
        <v>13</v>
      </c>
      <c r="X85" s="259" t="s">
        <v>8</v>
      </c>
      <c r="Y85" s="260" t="str">
        <f t="shared" si="152"/>
        <v>40%</v>
      </c>
      <c r="Z85" s="259" t="s">
        <v>19</v>
      </c>
      <c r="AA85" s="259" t="s">
        <v>21</v>
      </c>
      <c r="AB85" s="259" t="s">
        <v>103</v>
      </c>
      <c r="AC85" s="261">
        <f t="shared" ref="AC85" si="175">IFERROR(IF(V85="Probabilidad",(M85-(+M85*Y85)),IF(V85="Impacto",M85,"")),"")</f>
        <v>0.36</v>
      </c>
      <c r="AD85" s="262" t="str">
        <f>IFERROR(IF(AC85="","",IF(AC85&lt;=0.2,"Muy Baja",IF(AC85&lt;=0.4,"Baja",IF(AC85&lt;=0.6,"Media",IF(AC85&lt;=0.8,"Alta","Muy Alta"))))),"")</f>
        <v>Baja</v>
      </c>
      <c r="AE85" s="260">
        <f>+AC85</f>
        <v>0.36</v>
      </c>
      <c r="AF85" s="262" t="str">
        <f t="shared" si="154"/>
        <v>Moderado</v>
      </c>
      <c r="AG85" s="260">
        <f>IFERROR(IF(V85="Impacto",(Q85-(+Q85*Y85)),IF(V85="Probabilidad",Q85,"")),"")</f>
        <v>0.6</v>
      </c>
      <c r="AH85" s="264" t="str">
        <f>IFERROR(IF(OR(AND(AD85="Muy Baja",AF85="Leve"),AND(AD85="Muy Baja",AF85="Menor"),AND(AD85="Baja",AF85="Leve")),"Bajo",IF(OR(AND(AD85="Muy baja",AF85="Moderado"),AND(AD85="Baja",AF85="Menor"),AND(AD85="Baja",AF85="Moderado"),AND(AD85="Media",AF85="Leve"),AND(AD85="Media",AF85="Menor"),AND(AD85="Media",AF85="Moderado"),AND(AD85="Alta",AF85="Leve"),AND(AD85="Alta",AF85="Menor")),"Moderado",IF(OR(AND(AD85="Muy Baja",AF85="Mayor"),AND(AD85="Baja",AF85="Mayor"),AND(AD85="Media",AF85="Mayor"),AND(AD85="Alta",AF85="Moderado"),AND(AD85="Alta",AF85="Mayor"),AND(AD85="Muy Alta",AF85="Leve"),AND(AD85="Muy Alta",AF85="Menor"),AND(AD85="Muy Alta",AF85="Moderado"),AND(AD85="Muy Alta",AF85="Mayor")),"Alto",IF(OR(AND(AD85="Muy Baja",AF85="Catastrófico"),AND(AD85="Baja",AF85="Catastrófico"),AND(AD85="Media",AF85="Catastrófico"),AND(AD85="Alta",AF85="Catastrófico"),AND(AD85="Muy Alta",AF85="Catastrófico")),"Extremo","")))),"")</f>
        <v>Moderado</v>
      </c>
      <c r="AI85" s="259" t="s">
        <v>26</v>
      </c>
      <c r="AJ85" s="236">
        <v>1</v>
      </c>
      <c r="AK85" s="236">
        <v>0</v>
      </c>
      <c r="AL85" s="236">
        <v>1</v>
      </c>
      <c r="AM85" s="236">
        <v>0</v>
      </c>
      <c r="AN85" s="232"/>
      <c r="AO85" s="272"/>
      <c r="AP85" s="272"/>
      <c r="AQ85" s="273"/>
      <c r="AR85" s="274"/>
      <c r="AS85" s="275"/>
      <c r="AT85" s="182"/>
      <c r="AU85" s="276"/>
      <c r="AV85" s="276"/>
      <c r="AW85" s="276"/>
      <c r="AX85" s="276"/>
      <c r="AY85" s="276"/>
      <c r="AZ85" s="276"/>
      <c r="BA85" s="276"/>
      <c r="BB85" s="276"/>
      <c r="BC85" s="276"/>
      <c r="BD85" s="276"/>
      <c r="BE85" s="276"/>
      <c r="BF85" s="276"/>
      <c r="BG85" s="276"/>
      <c r="BH85" s="276"/>
      <c r="BI85" s="276"/>
      <c r="BJ85" s="276"/>
      <c r="BK85" s="276"/>
      <c r="BL85" s="276"/>
      <c r="BM85" s="276"/>
      <c r="BN85" s="276"/>
      <c r="BO85" s="276"/>
      <c r="BP85" s="276"/>
      <c r="BQ85" s="276"/>
      <c r="BR85" s="276"/>
      <c r="BS85" s="276"/>
      <c r="BT85" s="276"/>
      <c r="BU85" s="276"/>
      <c r="BV85" s="276"/>
      <c r="BW85" s="276"/>
      <c r="BX85" s="276"/>
      <c r="BY85" s="276"/>
      <c r="BZ85" s="276"/>
    </row>
    <row r="86" spans="1:78" ht="110.1" customHeight="1" x14ac:dyDescent="0.2">
      <c r="A86" s="516" t="s">
        <v>803</v>
      </c>
      <c r="B86" s="499" t="s">
        <v>753</v>
      </c>
      <c r="C86" s="517" t="s">
        <v>589</v>
      </c>
      <c r="D86" s="518" t="s">
        <v>619</v>
      </c>
      <c r="E86" s="518" t="s">
        <v>107</v>
      </c>
      <c r="F86" s="519" t="s">
        <v>810</v>
      </c>
      <c r="G86" s="520" t="s">
        <v>1079</v>
      </c>
      <c r="H86" s="520" t="s">
        <v>1038</v>
      </c>
      <c r="I86" s="521" t="s">
        <v>654</v>
      </c>
      <c r="J86" s="522" t="s">
        <v>1039</v>
      </c>
      <c r="K86" s="508">
        <v>73</v>
      </c>
      <c r="L86" s="511" t="s">
        <v>91</v>
      </c>
      <c r="M86" s="505">
        <v>0.6</v>
      </c>
      <c r="N86" s="523" t="s">
        <v>123</v>
      </c>
      <c r="O86" s="505" t="s">
        <v>123</v>
      </c>
      <c r="P86" s="503" t="s">
        <v>71</v>
      </c>
      <c r="Q86" s="505">
        <v>1</v>
      </c>
      <c r="R86" s="506" t="s">
        <v>65</v>
      </c>
      <c r="S86" s="308">
        <v>1</v>
      </c>
      <c r="T86" s="329" t="s">
        <v>1040</v>
      </c>
      <c r="U86" s="309" t="s">
        <v>293</v>
      </c>
      <c r="V86" s="310" t="s">
        <v>3</v>
      </c>
      <c r="W86" s="311" t="s">
        <v>13</v>
      </c>
      <c r="X86" s="311" t="s">
        <v>8</v>
      </c>
      <c r="Y86" s="312" t="s">
        <v>1036</v>
      </c>
      <c r="Z86" s="311" t="s">
        <v>19</v>
      </c>
      <c r="AA86" s="311" t="s">
        <v>21</v>
      </c>
      <c r="AB86" s="311" t="s">
        <v>103</v>
      </c>
      <c r="AC86" s="313">
        <v>0.36</v>
      </c>
      <c r="AD86" s="335" t="s">
        <v>39</v>
      </c>
      <c r="AE86" s="312">
        <v>0.36</v>
      </c>
      <c r="AF86" s="262" t="str">
        <f t="shared" si="154"/>
        <v>Catastrófico</v>
      </c>
      <c r="AG86" s="312">
        <v>1</v>
      </c>
      <c r="AH86" s="264" t="str">
        <f t="shared" ref="AH86:AH100" si="176">IFERROR(IF(OR(AND(AD86="Muy Baja",AF86="Leve"),AND(AD86="Muy Baja",AF86="Menor"),AND(AD86="Baja",AF86="Leve")),"Bajo",IF(OR(AND(AD86="Muy baja",AF86="Moderado"),AND(AD86="Baja",AF86="Menor"),AND(AD86="Baja",AF86="Moderado"),AND(AD86="Media",AF86="Leve"),AND(AD86="Media",AF86="Menor"),AND(AD86="Media",AF86="Moderado"),AND(AD86="Alta",AF86="Leve"),AND(AD86="Alta",AF86="Menor")),"Moderado",IF(OR(AND(AD86="Muy Baja",AF86="Mayor"),AND(AD86="Baja",AF86="Mayor"),AND(AD86="Media",AF86="Mayor"),AND(AD86="Alta",AF86="Moderado"),AND(AD86="Alta",AF86="Mayor"),AND(AD86="Muy Alta",AF86="Leve"),AND(AD86="Muy Alta",AF86="Menor"),AND(AD86="Muy Alta",AF86="Moderado"),AND(AD86="Muy Alta",AF86="Mayor")),"Alto",IF(OR(AND(AD86="Muy Baja",AF86="Catastrófico"),AND(AD86="Baja",AF86="Catastrófico"),AND(AD86="Media",AF86="Catastrófico"),AND(AD86="Alta",AF86="Catastrófico"),AND(AD86="Muy Alta",AF86="Catastrófico")),"Extremo","")))),"")</f>
        <v>Extremo</v>
      </c>
      <c r="AI86" s="311" t="s">
        <v>26</v>
      </c>
      <c r="AJ86" s="308">
        <v>0</v>
      </c>
      <c r="AK86" s="308">
        <v>0</v>
      </c>
      <c r="AL86" s="308">
        <v>0</v>
      </c>
      <c r="AM86" s="308">
        <v>0</v>
      </c>
      <c r="AN86" s="304"/>
    </row>
    <row r="87" spans="1:78" ht="120" customHeight="1" x14ac:dyDescent="0.2">
      <c r="A87" s="463"/>
      <c r="B87" s="464"/>
      <c r="C87" s="465"/>
      <c r="D87" s="466"/>
      <c r="E87" s="466"/>
      <c r="F87" s="467"/>
      <c r="G87" s="494"/>
      <c r="H87" s="494"/>
      <c r="I87" s="492"/>
      <c r="J87" s="497"/>
      <c r="K87" s="493"/>
      <c r="L87" s="500"/>
      <c r="M87" s="488"/>
      <c r="N87" s="489"/>
      <c r="O87" s="488">
        <v>0</v>
      </c>
      <c r="P87" s="504"/>
      <c r="Q87" s="488"/>
      <c r="R87" s="507"/>
      <c r="S87" s="235">
        <v>2</v>
      </c>
      <c r="T87" s="322" t="s">
        <v>1041</v>
      </c>
      <c r="U87" s="305" t="s">
        <v>293</v>
      </c>
      <c r="V87" s="307" t="s">
        <v>3</v>
      </c>
      <c r="W87" s="259" t="s">
        <v>13</v>
      </c>
      <c r="X87" s="259" t="s">
        <v>8</v>
      </c>
      <c r="Y87" s="260" t="s">
        <v>1036</v>
      </c>
      <c r="Z87" s="259" t="s">
        <v>18</v>
      </c>
      <c r="AA87" s="259" t="s">
        <v>21</v>
      </c>
      <c r="AB87" s="259" t="s">
        <v>103</v>
      </c>
      <c r="AC87" s="261">
        <v>0.216</v>
      </c>
      <c r="AD87" s="334" t="s">
        <v>39</v>
      </c>
      <c r="AE87" s="260">
        <v>0.216</v>
      </c>
      <c r="AF87" s="262" t="str">
        <f t="shared" si="154"/>
        <v>Catastrófico</v>
      </c>
      <c r="AG87" s="260">
        <v>1</v>
      </c>
      <c r="AH87" s="264" t="str">
        <f t="shared" si="176"/>
        <v>Extremo</v>
      </c>
      <c r="AI87" s="259" t="s">
        <v>26</v>
      </c>
      <c r="AJ87" s="235">
        <v>2</v>
      </c>
      <c r="AK87" s="235">
        <v>1</v>
      </c>
      <c r="AL87" s="235">
        <v>0</v>
      </c>
      <c r="AM87" s="235">
        <v>1</v>
      </c>
      <c r="AN87" s="235"/>
    </row>
    <row r="88" spans="1:78" ht="242.25" x14ac:dyDescent="0.2">
      <c r="A88" s="281" t="s">
        <v>804</v>
      </c>
      <c r="B88" s="282" t="s">
        <v>753</v>
      </c>
      <c r="C88" s="211" t="s">
        <v>589</v>
      </c>
      <c r="D88" s="244" t="s">
        <v>619</v>
      </c>
      <c r="E88" s="244" t="s">
        <v>107</v>
      </c>
      <c r="F88" s="306" t="s">
        <v>799</v>
      </c>
      <c r="G88" s="306" t="s">
        <v>673</v>
      </c>
      <c r="H88" s="324" t="s">
        <v>1069</v>
      </c>
      <c r="I88" s="245" t="s">
        <v>654</v>
      </c>
      <c r="J88" s="283" t="s">
        <v>1043</v>
      </c>
      <c r="K88" s="247">
        <v>50</v>
      </c>
      <c r="L88" s="331" t="s">
        <v>91</v>
      </c>
      <c r="M88" s="248">
        <v>0.6</v>
      </c>
      <c r="N88" s="285" t="s">
        <v>123</v>
      </c>
      <c r="O88" s="248" t="s">
        <v>123</v>
      </c>
      <c r="P88" s="332" t="s">
        <v>71</v>
      </c>
      <c r="Q88" s="248">
        <v>1</v>
      </c>
      <c r="R88" s="333" t="s">
        <v>65</v>
      </c>
      <c r="S88" s="235">
        <v>1</v>
      </c>
      <c r="T88" s="322" t="s">
        <v>1042</v>
      </c>
      <c r="U88" s="305" t="s">
        <v>293</v>
      </c>
      <c r="V88" s="307" t="s">
        <v>3</v>
      </c>
      <c r="W88" s="259" t="s">
        <v>13</v>
      </c>
      <c r="X88" s="259" t="s">
        <v>8</v>
      </c>
      <c r="Y88" s="260" t="s">
        <v>1036</v>
      </c>
      <c r="Z88" s="259" t="s">
        <v>18</v>
      </c>
      <c r="AA88" s="259" t="s">
        <v>21</v>
      </c>
      <c r="AB88" s="259" t="s">
        <v>103</v>
      </c>
      <c r="AC88" s="261">
        <v>0.36</v>
      </c>
      <c r="AD88" s="334" t="s">
        <v>39</v>
      </c>
      <c r="AE88" s="260">
        <v>0.36</v>
      </c>
      <c r="AF88" s="262" t="str">
        <f t="shared" si="154"/>
        <v>Catastrófico</v>
      </c>
      <c r="AG88" s="260">
        <v>1</v>
      </c>
      <c r="AH88" s="264" t="str">
        <f t="shared" si="176"/>
        <v>Extremo</v>
      </c>
      <c r="AI88" s="259" t="s">
        <v>26</v>
      </c>
      <c r="AJ88" s="235">
        <v>0</v>
      </c>
      <c r="AK88" s="235">
        <v>0</v>
      </c>
      <c r="AL88" s="235">
        <v>0</v>
      </c>
      <c r="AM88" s="235">
        <v>0</v>
      </c>
      <c r="AN88" s="303"/>
    </row>
    <row r="89" spans="1:78" ht="122.1" customHeight="1" x14ac:dyDescent="0.2">
      <c r="A89" s="463" t="s">
        <v>805</v>
      </c>
      <c r="B89" s="464" t="s">
        <v>753</v>
      </c>
      <c r="C89" s="465" t="s">
        <v>590</v>
      </c>
      <c r="D89" s="466" t="s">
        <v>619</v>
      </c>
      <c r="E89" s="466" t="s">
        <v>109</v>
      </c>
      <c r="F89" s="494" t="s">
        <v>1074</v>
      </c>
      <c r="G89" s="467" t="s">
        <v>673</v>
      </c>
      <c r="H89" s="467" t="s">
        <v>777</v>
      </c>
      <c r="I89" s="492" t="s">
        <v>633</v>
      </c>
      <c r="J89" s="492" t="s">
        <v>778</v>
      </c>
      <c r="K89" s="493">
        <v>120</v>
      </c>
      <c r="L89" s="500" t="s">
        <v>91</v>
      </c>
      <c r="M89" s="488">
        <v>0.6</v>
      </c>
      <c r="N89" s="489" t="s">
        <v>811</v>
      </c>
      <c r="O89" s="488" t="s">
        <v>811</v>
      </c>
      <c r="P89" s="501" t="s">
        <v>70</v>
      </c>
      <c r="Q89" s="488">
        <v>0.4</v>
      </c>
      <c r="R89" s="502" t="s">
        <v>67</v>
      </c>
      <c r="S89" s="235">
        <v>1</v>
      </c>
      <c r="T89" s="306" t="s">
        <v>779</v>
      </c>
      <c r="U89" s="305" t="s">
        <v>293</v>
      </c>
      <c r="V89" s="307" t="s">
        <v>3</v>
      </c>
      <c r="W89" s="259" t="s">
        <v>13</v>
      </c>
      <c r="X89" s="259" t="s">
        <v>8</v>
      </c>
      <c r="Y89" s="260" t="s">
        <v>1036</v>
      </c>
      <c r="Z89" s="259" t="s">
        <v>18</v>
      </c>
      <c r="AA89" s="259" t="s">
        <v>21</v>
      </c>
      <c r="AB89" s="259" t="s">
        <v>103</v>
      </c>
      <c r="AC89" s="261">
        <v>0.36</v>
      </c>
      <c r="AD89" s="334" t="s">
        <v>39</v>
      </c>
      <c r="AE89" s="260">
        <v>0.36</v>
      </c>
      <c r="AF89" s="262" t="str">
        <f t="shared" si="154"/>
        <v>Menor</v>
      </c>
      <c r="AG89" s="260">
        <v>0.4</v>
      </c>
      <c r="AH89" s="264" t="str">
        <f t="shared" si="176"/>
        <v>Moderado</v>
      </c>
      <c r="AI89" s="259" t="s">
        <v>26</v>
      </c>
      <c r="AJ89" s="236">
        <v>2</v>
      </c>
      <c r="AK89" s="236">
        <v>0</v>
      </c>
      <c r="AL89" s="236">
        <v>1</v>
      </c>
      <c r="AM89" s="236">
        <v>1</v>
      </c>
      <c r="AN89" s="247"/>
    </row>
    <row r="90" spans="1:78" ht="144.6" customHeight="1" x14ac:dyDescent="0.2">
      <c r="A90" s="463"/>
      <c r="B90" s="464"/>
      <c r="C90" s="465"/>
      <c r="D90" s="466"/>
      <c r="E90" s="466"/>
      <c r="F90" s="494"/>
      <c r="G90" s="467"/>
      <c r="H90" s="467"/>
      <c r="I90" s="492"/>
      <c r="J90" s="492"/>
      <c r="K90" s="493"/>
      <c r="L90" s="500"/>
      <c r="M90" s="488"/>
      <c r="N90" s="489"/>
      <c r="O90" s="488">
        <v>0</v>
      </c>
      <c r="P90" s="501"/>
      <c r="Q90" s="488"/>
      <c r="R90" s="502"/>
      <c r="S90" s="184">
        <v>2</v>
      </c>
      <c r="T90" s="306" t="s">
        <v>1096</v>
      </c>
      <c r="U90" s="245" t="s">
        <v>292</v>
      </c>
      <c r="V90" s="307" t="s">
        <v>3</v>
      </c>
      <c r="W90" s="259" t="s">
        <v>13</v>
      </c>
      <c r="X90" s="259" t="s">
        <v>8</v>
      </c>
      <c r="Y90" s="260" t="s">
        <v>1036</v>
      </c>
      <c r="Z90" s="259" t="s">
        <v>18</v>
      </c>
      <c r="AA90" s="259" t="s">
        <v>21</v>
      </c>
      <c r="AB90" s="259" t="s">
        <v>103</v>
      </c>
      <c r="AC90" s="261">
        <v>0.216</v>
      </c>
      <c r="AD90" s="262" t="s">
        <v>39</v>
      </c>
      <c r="AE90" s="260">
        <v>0.216</v>
      </c>
      <c r="AF90" s="262" t="str">
        <f t="shared" si="154"/>
        <v>Menor</v>
      </c>
      <c r="AG90" s="260">
        <v>0.4</v>
      </c>
      <c r="AH90" s="264" t="str">
        <f t="shared" si="176"/>
        <v>Moderado</v>
      </c>
      <c r="AI90" s="259" t="s">
        <v>26</v>
      </c>
      <c r="AJ90" s="236">
        <v>2</v>
      </c>
      <c r="AK90" s="236">
        <v>0</v>
      </c>
      <c r="AL90" s="236">
        <v>1</v>
      </c>
      <c r="AM90" s="236">
        <v>1</v>
      </c>
      <c r="AN90" s="247"/>
    </row>
    <row r="91" spans="1:78" s="252" customFormat="1" ht="131.25" customHeight="1" x14ac:dyDescent="0.2">
      <c r="A91" s="281" t="s">
        <v>955</v>
      </c>
      <c r="B91" s="282" t="s">
        <v>753</v>
      </c>
      <c r="C91" s="211" t="s">
        <v>594</v>
      </c>
      <c r="D91" s="244" t="s">
        <v>624</v>
      </c>
      <c r="E91" s="244" t="s">
        <v>107</v>
      </c>
      <c r="F91" s="324" t="s">
        <v>956</v>
      </c>
      <c r="G91" s="306" t="s">
        <v>673</v>
      </c>
      <c r="H91" s="324" t="s">
        <v>957</v>
      </c>
      <c r="I91" s="245" t="s">
        <v>654</v>
      </c>
      <c r="J91" s="245" t="s">
        <v>958</v>
      </c>
      <c r="K91" s="247">
        <v>1</v>
      </c>
      <c r="L91" s="284" t="str">
        <f t="shared" ref="L91" si="177">IF(K91&lt;=0,"",IF(K91&lt;=2,"Muy Baja",IF(K91&lt;=24,"Baja",IF(K91&lt;=500,"Media",IF(K91&lt;=5000,"Alta","Muy Alta")))))</f>
        <v>Muy Baja</v>
      </c>
      <c r="M91" s="248">
        <f>IF(L91="","",IF(L91="Muy Baja",0.2,IF(L91="Baja",0.4,IF(L91="Media",0.6,IF(L91="Alta",0.8,IF(L91="Muy Alta",1,))))))</f>
        <v>0.2</v>
      </c>
      <c r="N91" s="285" t="s">
        <v>121</v>
      </c>
      <c r="O91" s="248" t="s">
        <v>121</v>
      </c>
      <c r="P91" s="284" t="s">
        <v>67</v>
      </c>
      <c r="Q91" s="248">
        <f>IF(P91="","",IF(P91="Leve",0.2,IF(P91="Menor",0.4,IF(P91="Moderado",0.6,IF(P91="Mayor",0.8,IF(P91="Catastrófico",1,))))))</f>
        <v>0.6</v>
      </c>
      <c r="R91" s="280" t="str">
        <f>IF(OR(AND(L91="Muy Baja",P91="Leve"),AND(L91="Muy Baja",P91="Menor"),AND(L91="Baja",P91="Leve")),"Bajo",IF(OR(AND(L91="Muy baja",P91="Moderado"),AND(L91="Baja",P91="Menor"),AND(L91="Baja",P91="Moderado"),AND(L91="Media",P91="Leve"),AND(L91="Media",P91="Menor"),AND(L91="Media",P91="Moderado"),AND(L91="Alta",P91="Leve"),AND(L91="Alta",P91="Menor")),"Moderado",IF(OR(AND(L91="Muy Baja",P91="Mayor"),AND(L91="Baja",P91="Mayor"),AND(L91="Media",P91="Mayor"),AND(L91="Alta",P91="Moderado"),AND(L91="Alta",P91="Mayor"),AND(L91="Muy Alta",P91="Leve"),AND(L91="Muy Alta",P91="Menor"),AND(L91="Muy Alta",P91="Moderado"),AND(L91="Muy Alta",P91="Mayor")),"Alto",IF(OR(AND(L91="Muy Baja",P91="Catastrófico"),AND(L91="Baja",P91="Catastrófico"),AND(L91="Media",P91="Catastrófico"),AND(L91="Alta",P91="Catastrófico"),AND(L91="Muy Alta",P91="Catastrófico")),"Extremo",""))))</f>
        <v>Moderado</v>
      </c>
      <c r="S91" s="235">
        <v>1</v>
      </c>
      <c r="T91" s="323" t="s">
        <v>959</v>
      </c>
      <c r="U91" s="305" t="s">
        <v>293</v>
      </c>
      <c r="V91" s="307" t="str">
        <f>IF(OR(W91="Preventivo",W91="Detectivo"),"Probabilidad",IF(W91="Correctivo","Impacto",""))</f>
        <v>Probabilidad</v>
      </c>
      <c r="W91" s="259" t="s">
        <v>13</v>
      </c>
      <c r="X91" s="259" t="s">
        <v>8</v>
      </c>
      <c r="Y91" s="260" t="str">
        <f t="shared" ref="Y91:Y97" si="178">IF(AND(W91="Preventivo",X91="Automático"),"50%",IF(AND(W91="Preventivo",X91="Manual"),"40%",IF(AND(W91="Detectivo",X91="Automático"),"40%",IF(AND(W91="Detectivo",X91="Manual"),"30%",IF(AND(W91="Correctivo",X91="Automático"),"35%",IF(AND(W91="Correctivo",X91="Manual"),"25%",""))))))</f>
        <v>40%</v>
      </c>
      <c r="Z91" s="259" t="s">
        <v>19</v>
      </c>
      <c r="AA91" s="259" t="s">
        <v>21</v>
      </c>
      <c r="AB91" s="259" t="s">
        <v>103</v>
      </c>
      <c r="AC91" s="261">
        <f t="shared" ref="AC91" si="179">IFERROR(IF(V91="Probabilidad",(M91-(+M91*Y91)),IF(V91="Impacto",M91,"")),"")</f>
        <v>0.12</v>
      </c>
      <c r="AD91" s="262" t="str">
        <f>IFERROR(IF(AC91="","",IF(AC91&lt;=0.2,"Muy Baja",IF(AC91&lt;=0.4,"Baja",IF(AC91&lt;=0.6,"Media",IF(AC91&lt;=0.8,"Alta","Muy Alta"))))),"")</f>
        <v>Muy Baja</v>
      </c>
      <c r="AE91" s="260">
        <f>+AC91</f>
        <v>0.12</v>
      </c>
      <c r="AF91" s="262" t="str">
        <f t="shared" si="154"/>
        <v>Moderado</v>
      </c>
      <c r="AG91" s="260">
        <f>IFERROR(IF(V91="Impacto",(Q91-(+Q91*Y91)),IF(V91="Probabilidad",Q91,"")),"")</f>
        <v>0.6</v>
      </c>
      <c r="AH91" s="264" t="str">
        <f t="shared" si="176"/>
        <v>Moderado</v>
      </c>
      <c r="AI91" s="259" t="s">
        <v>26</v>
      </c>
      <c r="AJ91" s="236">
        <v>1</v>
      </c>
      <c r="AK91" s="236">
        <v>1</v>
      </c>
      <c r="AL91" s="236">
        <v>0</v>
      </c>
      <c r="AM91" s="236">
        <v>0</v>
      </c>
      <c r="AN91" s="232"/>
      <c r="AO91" s="237"/>
      <c r="AP91" s="237"/>
      <c r="AQ91" s="231"/>
      <c r="AR91" s="239"/>
      <c r="AS91" s="240"/>
      <c r="AT91" s="182"/>
      <c r="AU91" s="251"/>
      <c r="AV91" s="251"/>
      <c r="AW91" s="251"/>
      <c r="AX91" s="251"/>
      <c r="AY91" s="251"/>
      <c r="AZ91" s="251"/>
      <c r="BA91" s="251"/>
      <c r="BB91" s="251"/>
      <c r="BC91" s="251"/>
      <c r="BD91" s="251"/>
      <c r="BE91" s="251"/>
      <c r="BF91" s="251"/>
      <c r="BG91" s="251"/>
      <c r="BH91" s="251"/>
      <c r="BI91" s="251"/>
      <c r="BJ91" s="251"/>
      <c r="BK91" s="251"/>
      <c r="BL91" s="251"/>
      <c r="BM91" s="251"/>
      <c r="BN91" s="251"/>
      <c r="BO91" s="251"/>
      <c r="BP91" s="251"/>
      <c r="BQ91" s="251"/>
      <c r="BR91" s="251"/>
      <c r="BS91" s="251"/>
      <c r="BT91" s="251"/>
      <c r="BU91" s="251"/>
      <c r="BV91" s="251"/>
      <c r="BW91" s="251"/>
      <c r="BX91" s="251"/>
      <c r="BY91" s="251"/>
      <c r="BZ91" s="251"/>
    </row>
    <row r="92" spans="1:78" s="252" customFormat="1" ht="92.25" customHeight="1" x14ac:dyDescent="0.2">
      <c r="A92" s="463" t="s">
        <v>806</v>
      </c>
      <c r="B92" s="464" t="s">
        <v>753</v>
      </c>
      <c r="C92" s="465" t="s">
        <v>595</v>
      </c>
      <c r="D92" s="466" t="s">
        <v>619</v>
      </c>
      <c r="E92" s="466" t="s">
        <v>107</v>
      </c>
      <c r="F92" s="467" t="s">
        <v>883</v>
      </c>
      <c r="G92" s="467" t="s">
        <v>884</v>
      </c>
      <c r="H92" s="467" t="s">
        <v>886</v>
      </c>
      <c r="I92" s="492" t="s">
        <v>654</v>
      </c>
      <c r="J92" s="492" t="s">
        <v>885</v>
      </c>
      <c r="K92" s="493">
        <v>400</v>
      </c>
      <c r="L92" s="490" t="str">
        <f t="shared" ref="L92" si="180">IF(K92&lt;=0,"",IF(K92&lt;=2,"Muy Baja",IF(K92&lt;=24,"Baja",IF(K92&lt;=500,"Media",IF(K92&lt;=5000,"Alta","Muy Alta")))))</f>
        <v>Media</v>
      </c>
      <c r="M92" s="488">
        <f>IF(L92="","",IF(L92="Muy Baja",0.2,IF(L92="Baja",0.4,IF(L92="Media",0.6,IF(L92="Alta",0.8,IF(L92="Muy Alta",1,))))))</f>
        <v>0.6</v>
      </c>
      <c r="N92" s="489" t="s">
        <v>121</v>
      </c>
      <c r="O92" s="248" t="str">
        <f>IF(NOT(ISERROR(MATCH(N92,'Tabla Impacto'!$B$221:$B$223,0))),'Tabla Impacto'!$F$223&amp;"Por favor no seleccionar los criterios de impacto(Afectación Económica o presupuestal y Pérdida Reputacional)",N92)</f>
        <v xml:space="preserve">     El riesgo afecta la imagen de la entidad con algunos usuarios de relevancia frente al logro de los objetivos</v>
      </c>
      <c r="P92" s="490" t="str">
        <f>IF(OR(O92='Tabla Impacto'!$C$11,O92='Tabla Impacto'!$D$11),"Leve",IF(OR(O92='Tabla Impacto'!$C$12,O92='Tabla Impacto'!$D$12),"Menor",IF(OR(O92='Tabla Impacto'!$C$13,O92='Tabla Impacto'!$D$13),"Moderado",IF(OR(O92='Tabla Impacto'!$C$14,O92='Tabla Impacto'!$D$14),"Mayor",IF(OR(O92='Tabla Impacto'!$C$15,O92='Tabla Impacto'!$D$15),"Catastrófico","")))))</f>
        <v>Moderado</v>
      </c>
      <c r="Q92" s="488">
        <f>IF(P92="","",IF(P92="Leve",0.2,IF(P92="Menor",0.4,IF(P92="Moderado",0.6,IF(P92="Mayor",0.8,IF(P92="Catastrófico",1,))))))</f>
        <v>0.6</v>
      </c>
      <c r="R92" s="491" t="str">
        <f>IF(OR(AND(L92="Muy Baja",P92="Leve"),AND(L92="Muy Baja",P92="Menor"),AND(L92="Baja",P92="Leve")),"Bajo",IF(OR(AND(L92="Muy baja",P92="Moderado"),AND(L92="Baja",P92="Menor"),AND(L92="Baja",P92="Moderado"),AND(L92="Media",P92="Leve"),AND(L92="Media",P92="Menor"),AND(L92="Media",P92="Moderado"),AND(L92="Alta",P92="Leve"),AND(L92="Alta",P92="Menor")),"Moderado",IF(OR(AND(L92="Muy Baja",P92="Mayor"),AND(L92="Baja",P92="Mayor"),AND(L92="Media",P92="Mayor"),AND(L92="Alta",P92="Moderado"),AND(L92="Alta",P92="Mayor"),AND(L92="Muy Alta",P92="Leve"),AND(L92="Muy Alta",P92="Menor"),AND(L92="Muy Alta",P92="Moderado"),AND(L92="Muy Alta",P92="Mayor")),"Alto",IF(OR(AND(L92="Muy Baja",P92="Catastrófico"),AND(L92="Baja",P92="Catastrófico"),AND(L92="Media",P92="Catastrófico"),AND(L92="Alta",P92="Catastrófico"),AND(L92="Muy Alta",P92="Catastrófico")),"Extremo",""))))</f>
        <v>Moderado</v>
      </c>
      <c r="S92" s="235">
        <v>1</v>
      </c>
      <c r="T92" s="322" t="s">
        <v>888</v>
      </c>
      <c r="U92" s="305" t="s">
        <v>293</v>
      </c>
      <c r="V92" s="307" t="str">
        <f t="shared" ref="V92:V93" si="181">IF(OR(W92="Preventivo",W92="Detectivo"),"Probabilidad",IF(W92="Correctivo","Impacto",""))</f>
        <v>Probabilidad</v>
      </c>
      <c r="W92" s="259" t="s">
        <v>13</v>
      </c>
      <c r="X92" s="259" t="s">
        <v>8</v>
      </c>
      <c r="Y92" s="260" t="str">
        <f t="shared" si="178"/>
        <v>40%</v>
      </c>
      <c r="Z92" s="259" t="s">
        <v>18</v>
      </c>
      <c r="AA92" s="259" t="s">
        <v>21</v>
      </c>
      <c r="AB92" s="259" t="s">
        <v>103</v>
      </c>
      <c r="AC92" s="261">
        <f>IFERROR(IF(V92="Probabilidad",(M92-(+M92*Y92)),IF(V92="Impacto",M92,"")),"")</f>
        <v>0.36</v>
      </c>
      <c r="AD92" s="262" t="str">
        <f>IFERROR(IF(AC92="","",IF(AC92&lt;=0.2,"Muy Baja",IF(AC92&lt;=0.4,"Baja",IF(AC92&lt;=0.6,"Media",IF(AC92&lt;=0.8,"Alta","Muy Alta"))))),"")</f>
        <v>Baja</v>
      </c>
      <c r="AE92" s="260">
        <f>+AC92</f>
        <v>0.36</v>
      </c>
      <c r="AF92" s="262" t="str">
        <f t="shared" si="154"/>
        <v>Moderado</v>
      </c>
      <c r="AG92" s="260">
        <f>IFERROR(IF(V92="Impacto",(Q92-(+Q92*Y92)),IF(V92="Probabilidad",Q92,"")),"")</f>
        <v>0.6</v>
      </c>
      <c r="AH92" s="264" t="str">
        <f t="shared" si="176"/>
        <v>Moderado</v>
      </c>
      <c r="AI92" s="259" t="s">
        <v>26</v>
      </c>
      <c r="AJ92" s="236">
        <v>2</v>
      </c>
      <c r="AK92" s="236">
        <v>0</v>
      </c>
      <c r="AL92" s="236">
        <v>1</v>
      </c>
      <c r="AM92" s="236">
        <v>1</v>
      </c>
      <c r="AN92" s="247"/>
      <c r="AO92" s="237"/>
      <c r="AP92" s="237"/>
      <c r="AQ92" s="231"/>
      <c r="AR92" s="239"/>
      <c r="AS92" s="240"/>
      <c r="AT92" s="182"/>
      <c r="AU92" s="251"/>
      <c r="AV92" s="251"/>
      <c r="AW92" s="251"/>
      <c r="AX92" s="251"/>
      <c r="AY92" s="251"/>
      <c r="AZ92" s="251"/>
      <c r="BA92" s="251"/>
      <c r="BB92" s="251"/>
      <c r="BC92" s="251"/>
      <c r="BD92" s="251"/>
      <c r="BE92" s="251"/>
      <c r="BF92" s="251"/>
      <c r="BG92" s="251"/>
      <c r="BH92" s="251"/>
      <c r="BI92" s="251"/>
      <c r="BJ92" s="251"/>
      <c r="BK92" s="251"/>
      <c r="BL92" s="251"/>
      <c r="BM92" s="251"/>
      <c r="BN92" s="251"/>
      <c r="BO92" s="251"/>
      <c r="BP92" s="251"/>
      <c r="BQ92" s="251"/>
      <c r="BR92" s="251"/>
      <c r="BS92" s="251"/>
      <c r="BT92" s="251"/>
      <c r="BU92" s="251"/>
      <c r="BV92" s="251"/>
      <c r="BW92" s="251"/>
      <c r="BX92" s="251"/>
      <c r="BY92" s="251"/>
      <c r="BZ92" s="251"/>
    </row>
    <row r="93" spans="1:78" s="251" customFormat="1" ht="99.75" x14ac:dyDescent="0.2">
      <c r="A93" s="463"/>
      <c r="B93" s="464"/>
      <c r="C93" s="465"/>
      <c r="D93" s="466"/>
      <c r="E93" s="466"/>
      <c r="F93" s="467"/>
      <c r="G93" s="467"/>
      <c r="H93" s="467"/>
      <c r="I93" s="492"/>
      <c r="J93" s="492"/>
      <c r="K93" s="493"/>
      <c r="L93" s="490"/>
      <c r="M93" s="488"/>
      <c r="N93" s="489"/>
      <c r="O93" s="248">
        <f>IF(NOT(ISERROR(MATCH(N93,_xlfn.ANCHORARRAY(#REF!),0))),#REF!&amp;"Por favor no seleccionar los criterios de impacto",N93)</f>
        <v>0</v>
      </c>
      <c r="P93" s="490"/>
      <c r="Q93" s="488"/>
      <c r="R93" s="491"/>
      <c r="S93" s="235">
        <v>2</v>
      </c>
      <c r="T93" s="322" t="s">
        <v>887</v>
      </c>
      <c r="U93" s="305" t="s">
        <v>293</v>
      </c>
      <c r="V93" s="307" t="str">
        <f t="shared" si="181"/>
        <v>Probabilidad</v>
      </c>
      <c r="W93" s="259" t="s">
        <v>13</v>
      </c>
      <c r="X93" s="259" t="s">
        <v>8</v>
      </c>
      <c r="Y93" s="260" t="str">
        <f t="shared" si="178"/>
        <v>40%</v>
      </c>
      <c r="Z93" s="259" t="s">
        <v>18</v>
      </c>
      <c r="AA93" s="259" t="s">
        <v>21</v>
      </c>
      <c r="AB93" s="259" t="s">
        <v>103</v>
      </c>
      <c r="AC93" s="261">
        <f t="shared" ref="AC93" si="182">IFERROR(IF(AND(V92="Probabilidad",V93="Probabilidad"),(AE92-(+AE92*Y93)),IF(V93="Probabilidad",(M92-(+M92*Y93)),IF(V93="Impacto",AE92,""))),"")</f>
        <v>0.216</v>
      </c>
      <c r="AD93" s="262" t="str">
        <f t="shared" ref="AD93" si="183">IFERROR(IF(AC93="","",IF(AC93&lt;=0.2,"Muy Baja",IF(AC93&lt;=0.4,"Baja",IF(AC93&lt;=0.6,"Media",IF(AC93&lt;=0.8,"Alta","Muy Alta"))))),"")</f>
        <v>Baja</v>
      </c>
      <c r="AE93" s="260">
        <f>+AC93</f>
        <v>0.216</v>
      </c>
      <c r="AF93" s="262" t="str">
        <f t="shared" si="154"/>
        <v>Moderado</v>
      </c>
      <c r="AG93" s="260">
        <f>IFERROR(IF(AND(V92="Impacto",V93="Impacto"),(AG92-(+AG92*Y93)),IF(V93="Impacto",(#REF!-(+#REF!*Y93)),IF(V93="Probabilidad",AG92,""))),"")</f>
        <v>0.6</v>
      </c>
      <c r="AH93" s="264" t="str">
        <f t="shared" si="176"/>
        <v>Moderado</v>
      </c>
      <c r="AI93" s="259" t="s">
        <v>26</v>
      </c>
      <c r="AJ93" s="236">
        <v>0</v>
      </c>
      <c r="AK93" s="236">
        <v>0</v>
      </c>
      <c r="AL93" s="236">
        <v>0</v>
      </c>
      <c r="AM93" s="236">
        <v>0</v>
      </c>
      <c r="AN93" s="247"/>
      <c r="AO93" s="246"/>
      <c r="AP93" s="246"/>
      <c r="AQ93" s="245"/>
      <c r="AR93" s="238"/>
      <c r="AS93" s="246"/>
      <c r="AT93" s="182"/>
    </row>
    <row r="94" spans="1:78" s="252" customFormat="1" ht="87.75" customHeight="1" x14ac:dyDescent="0.2">
      <c r="A94" s="463" t="s">
        <v>807</v>
      </c>
      <c r="B94" s="464" t="s">
        <v>753</v>
      </c>
      <c r="C94" s="465" t="s">
        <v>597</v>
      </c>
      <c r="D94" s="466" t="s">
        <v>623</v>
      </c>
      <c r="E94" s="466" t="s">
        <v>109</v>
      </c>
      <c r="F94" s="467" t="s">
        <v>815</v>
      </c>
      <c r="G94" s="467" t="s">
        <v>673</v>
      </c>
      <c r="H94" s="467" t="s">
        <v>1070</v>
      </c>
      <c r="I94" s="492" t="s">
        <v>654</v>
      </c>
      <c r="J94" s="492" t="s">
        <v>816</v>
      </c>
      <c r="K94" s="493">
        <v>365</v>
      </c>
      <c r="L94" s="490" t="str">
        <f t="shared" ref="L94" si="184">IF(K94&lt;=0,"",IF(K94&lt;=2,"Muy Baja",IF(K94&lt;=24,"Baja",IF(K94&lt;=500,"Media",IF(K94&lt;=5000,"Alta","Muy Alta")))))</f>
        <v>Media</v>
      </c>
      <c r="M94" s="488">
        <f>IF(L94="","",IF(L94="Muy Baja",0.2,IF(L94="Baja",0.4,IF(L94="Media",0.6,IF(L94="Alta",0.8,IF(L94="Muy Alta",1,))))))</f>
        <v>0.6</v>
      </c>
      <c r="N94" s="489" t="s">
        <v>122</v>
      </c>
      <c r="O94" s="248" t="str">
        <f>IF(NOT(ISERROR(MATCH(N94,'Tabla Impacto'!$B$221:$B$223,0))),'Tabla Impacto'!$F$223&amp;"Por favor no seleccionar los criterios de impacto(Afectación Económica o presupuestal y Pérdida Reputacional)",N94)</f>
        <v xml:space="preserve">     El riesgo afecta la imagen de de la entidad con efecto publicitario sostenido a nivel de sector administrativo, nivel departamental o municipal</v>
      </c>
      <c r="P94" s="490" t="str">
        <f>IF(OR(O94='Tabla Impacto'!$C$11,O94='Tabla Impacto'!$D$11),"Leve",IF(OR(O94='Tabla Impacto'!$C$12,O94='Tabla Impacto'!$D$12),"Menor",IF(OR(O94='Tabla Impacto'!$C$13,O94='Tabla Impacto'!$D$13),"Moderado",IF(OR(O94='Tabla Impacto'!$C$14,O94='Tabla Impacto'!$D$14),"Mayor",IF(OR(O94='Tabla Impacto'!$C$15,O94='Tabla Impacto'!$D$15),"Catastrófico","")))))</f>
        <v>Mayor</v>
      </c>
      <c r="Q94" s="488">
        <f>IF(P94="","",IF(P94="Leve",0.2,IF(P94="Menor",0.4,IF(P94="Moderado",0.6,IF(P94="Mayor",0.8,IF(P94="Catastrófico",1,))))))</f>
        <v>0.8</v>
      </c>
      <c r="R94" s="491" t="str">
        <f>IF(OR(AND(L94="Muy Baja",P94="Leve"),AND(L94="Muy Baja",P94="Menor"),AND(L94="Baja",P94="Leve")),"Bajo",IF(OR(AND(L94="Muy baja",P94="Moderado"),AND(L94="Baja",P94="Menor"),AND(L94="Baja",P94="Moderado"),AND(L94="Media",P94="Leve"),AND(L94="Media",P94="Menor"),AND(L94="Media",P94="Moderado"),AND(L94="Alta",P94="Leve"),AND(L94="Alta",P94="Menor")),"Moderado",IF(OR(AND(L94="Muy Baja",P94="Mayor"),AND(L94="Baja",P94="Mayor"),AND(L94="Media",P94="Mayor"),AND(L94="Alta",P94="Moderado"),AND(L94="Alta",P94="Mayor"),AND(L94="Muy Alta",P94="Leve"),AND(L94="Muy Alta",P94="Menor"),AND(L94="Muy Alta",P94="Moderado"),AND(L94="Muy Alta",P94="Mayor")),"Alto",IF(OR(AND(L94="Muy Baja",P94="Catastrófico"),AND(L94="Baja",P94="Catastrófico"),AND(L94="Media",P94="Catastrófico"),AND(L94="Alta",P94="Catastrófico"),AND(L94="Muy Alta",P94="Catastrófico")),"Extremo",""))))</f>
        <v>Alto</v>
      </c>
      <c r="S94" s="235">
        <v>1</v>
      </c>
      <c r="T94" s="322" t="s">
        <v>783</v>
      </c>
      <c r="U94" s="305" t="s">
        <v>293</v>
      </c>
      <c r="V94" s="307" t="str">
        <f>IF(OR(W94="Preventivo",W94="Detectivo"),"Probabilidad",IF(W94="Correctivo","Impacto",""))</f>
        <v>Probabilidad</v>
      </c>
      <c r="W94" s="259" t="s">
        <v>13</v>
      </c>
      <c r="X94" s="259" t="s">
        <v>8</v>
      </c>
      <c r="Y94" s="260" t="str">
        <f t="shared" si="178"/>
        <v>40%</v>
      </c>
      <c r="Z94" s="259" t="s">
        <v>18</v>
      </c>
      <c r="AA94" s="259" t="s">
        <v>21</v>
      </c>
      <c r="AB94" s="259" t="s">
        <v>103</v>
      </c>
      <c r="AC94" s="261">
        <f t="shared" ref="AC94" si="185">IFERROR(IF(V94="Probabilidad",(M94-(+M94*Y94)),IF(V94="Impacto",M94,"")),"")</f>
        <v>0.36</v>
      </c>
      <c r="AD94" s="262" t="str">
        <f>IFERROR(IF(AC94="","",IF(AC94&lt;=0.2,"Muy Baja",IF(AC94&lt;=0.4,"Baja",IF(AC94&lt;=0.6,"Media",IF(AC94&lt;=0.8,"Alta","Muy Alta"))))),"")</f>
        <v>Baja</v>
      </c>
      <c r="AE94" s="260">
        <f>+AC94</f>
        <v>0.36</v>
      </c>
      <c r="AF94" s="262" t="str">
        <f t="shared" si="154"/>
        <v>Mayor</v>
      </c>
      <c r="AG94" s="260">
        <f>IFERROR(IF(V94="Impacto",(Q94-(+Q94*Y94)),IF(V94="Probabilidad",Q94,"")),"")</f>
        <v>0.8</v>
      </c>
      <c r="AH94" s="264" t="str">
        <f t="shared" si="176"/>
        <v>Alto</v>
      </c>
      <c r="AI94" s="259" t="s">
        <v>26</v>
      </c>
      <c r="AJ94" s="236">
        <v>1</v>
      </c>
      <c r="AK94" s="236">
        <v>1</v>
      </c>
      <c r="AL94" s="236">
        <v>0</v>
      </c>
      <c r="AM94" s="236">
        <v>0</v>
      </c>
      <c r="AN94" s="232"/>
      <c r="AO94" s="237"/>
      <c r="AP94" s="237"/>
      <c r="AQ94" s="231"/>
      <c r="AR94" s="239"/>
      <c r="AS94" s="240"/>
      <c r="AT94" s="182"/>
      <c r="AU94" s="251"/>
      <c r="AV94" s="251"/>
      <c r="AW94" s="251"/>
      <c r="AX94" s="251"/>
      <c r="AY94" s="251"/>
      <c r="AZ94" s="251"/>
      <c r="BA94" s="251"/>
      <c r="BB94" s="251"/>
      <c r="BC94" s="251"/>
      <c r="BD94" s="251"/>
      <c r="BE94" s="251"/>
      <c r="BF94" s="251"/>
      <c r="BG94" s="251"/>
      <c r="BH94" s="251"/>
      <c r="BI94" s="251"/>
      <c r="BJ94" s="251"/>
      <c r="BK94" s="251"/>
      <c r="BL94" s="251"/>
      <c r="BM94" s="251"/>
      <c r="BN94" s="251"/>
      <c r="BO94" s="251"/>
      <c r="BP94" s="251"/>
      <c r="BQ94" s="251"/>
      <c r="BR94" s="251"/>
      <c r="BS94" s="251"/>
      <c r="BT94" s="251"/>
      <c r="BU94" s="251"/>
      <c r="BV94" s="251"/>
      <c r="BW94" s="251"/>
      <c r="BX94" s="251"/>
      <c r="BY94" s="251"/>
      <c r="BZ94" s="251"/>
    </row>
    <row r="95" spans="1:78" s="251" customFormat="1" ht="94.5" customHeight="1" x14ac:dyDescent="0.2">
      <c r="A95" s="463"/>
      <c r="B95" s="464"/>
      <c r="C95" s="465"/>
      <c r="D95" s="466"/>
      <c r="E95" s="466"/>
      <c r="F95" s="467"/>
      <c r="G95" s="467"/>
      <c r="H95" s="467"/>
      <c r="I95" s="492"/>
      <c r="J95" s="492"/>
      <c r="K95" s="493"/>
      <c r="L95" s="490"/>
      <c r="M95" s="488"/>
      <c r="N95" s="489"/>
      <c r="O95" s="248">
        <f>IF(NOT(ISERROR(MATCH(N95,_xlfn.ANCHORARRAY(#REF!),0))),#REF!&amp;"Por favor no seleccionar los criterios de impacto",N95)</f>
        <v>0</v>
      </c>
      <c r="P95" s="490"/>
      <c r="Q95" s="488"/>
      <c r="R95" s="491"/>
      <c r="S95" s="235">
        <v>2</v>
      </c>
      <c r="T95" s="322" t="s">
        <v>908</v>
      </c>
      <c r="U95" s="305" t="s">
        <v>293</v>
      </c>
      <c r="V95" s="307" t="str">
        <f>IF(OR(W95="Preventivo",W95="Detectivo"),"Probabilidad",IF(W95="Correctivo","Impacto",""))</f>
        <v>Probabilidad</v>
      </c>
      <c r="W95" s="259" t="s">
        <v>13</v>
      </c>
      <c r="X95" s="259" t="s">
        <v>8</v>
      </c>
      <c r="Y95" s="260" t="str">
        <f t="shared" si="178"/>
        <v>40%</v>
      </c>
      <c r="Z95" s="259" t="s">
        <v>19</v>
      </c>
      <c r="AA95" s="259" t="s">
        <v>21</v>
      </c>
      <c r="AB95" s="259" t="s">
        <v>103</v>
      </c>
      <c r="AC95" s="261">
        <f t="shared" ref="AC95" si="186">IFERROR(IF(AND(V94="Probabilidad",V95="Probabilidad"),(AE94-(+AE94*Y95)),IF(V95="Probabilidad",(M94-(+M94*Y95)),IF(V95="Impacto",AE94,""))),"")</f>
        <v>0.216</v>
      </c>
      <c r="AD95" s="262" t="str">
        <f t="shared" ref="AD95:AD96" si="187">IFERROR(IF(AC95="","",IF(AC95&lt;=0.2,"Muy Baja",IF(AC95&lt;=0.4,"Baja",IF(AC95&lt;=0.6,"Media",IF(AC95&lt;=0.8,"Alta","Muy Alta"))))),"")</f>
        <v>Baja</v>
      </c>
      <c r="AE95" s="260">
        <f>+AC95</f>
        <v>0.216</v>
      </c>
      <c r="AF95" s="262" t="str">
        <f t="shared" si="154"/>
        <v>Mayor</v>
      </c>
      <c r="AG95" s="260">
        <f>IFERROR(IF(AND(V94="Impacto",V95="Impacto"),(AG94-(+AG94*Y95)),IF(V95="Impacto",($Q$94-(+$Q$94*Y95)),IF(V95="Probabilidad",AG94,""))),"")</f>
        <v>0.8</v>
      </c>
      <c r="AH95" s="264" t="str">
        <f t="shared" si="176"/>
        <v>Alto</v>
      </c>
      <c r="AI95" s="259" t="s">
        <v>26</v>
      </c>
      <c r="AJ95" s="236">
        <v>3</v>
      </c>
      <c r="AK95" s="236">
        <v>1</v>
      </c>
      <c r="AL95" s="236">
        <v>1</v>
      </c>
      <c r="AM95" s="236">
        <v>1</v>
      </c>
      <c r="AN95" s="247"/>
      <c r="AO95" s="246"/>
      <c r="AP95" s="246"/>
      <c r="AQ95" s="245"/>
      <c r="AR95" s="238"/>
      <c r="AS95" s="246"/>
      <c r="AT95" s="182"/>
    </row>
    <row r="96" spans="1:78" s="251" customFormat="1" ht="86.25" x14ac:dyDescent="0.2">
      <c r="A96" s="463"/>
      <c r="B96" s="464"/>
      <c r="C96" s="465"/>
      <c r="D96" s="466"/>
      <c r="E96" s="466"/>
      <c r="F96" s="467"/>
      <c r="G96" s="467"/>
      <c r="H96" s="467"/>
      <c r="I96" s="492"/>
      <c r="J96" s="492"/>
      <c r="K96" s="493"/>
      <c r="L96" s="490"/>
      <c r="M96" s="488"/>
      <c r="N96" s="489"/>
      <c r="O96" s="248">
        <f>IF(NOT(ISERROR(MATCH(N96,_xlfn.ANCHORARRAY(#REF!),0))),#REF!&amp;"Por favor no seleccionar los criterios de impacto",N96)</f>
        <v>0</v>
      </c>
      <c r="P96" s="490"/>
      <c r="Q96" s="488"/>
      <c r="R96" s="491"/>
      <c r="S96" s="235">
        <v>3</v>
      </c>
      <c r="T96" s="322" t="s">
        <v>909</v>
      </c>
      <c r="U96" s="305" t="s">
        <v>293</v>
      </c>
      <c r="V96" s="307" t="str">
        <f>IF(OR(W96="Preventivo",W96="Detectivo"),"Probabilidad",IF(W96="Correctivo","Impacto",""))</f>
        <v>Probabilidad</v>
      </c>
      <c r="W96" s="259" t="s">
        <v>14</v>
      </c>
      <c r="X96" s="259" t="s">
        <v>8</v>
      </c>
      <c r="Y96" s="260" t="str">
        <f t="shared" si="178"/>
        <v>30%</v>
      </c>
      <c r="Z96" s="259" t="s">
        <v>19</v>
      </c>
      <c r="AA96" s="259" t="s">
        <v>21</v>
      </c>
      <c r="AB96" s="259" t="s">
        <v>103</v>
      </c>
      <c r="AC96" s="261">
        <f t="shared" ref="AC96" si="188">IFERROR(IF(AND(V95="Probabilidad",V96="Probabilidad"),(AE95-(+AE95*Y96)),IF(AND(V95="Impacto",V96="Probabilidad"),(AE94-(+AE94*Y96)),IF(V96="Impacto",AE95,""))),"")</f>
        <v>0.1512</v>
      </c>
      <c r="AD96" s="262" t="str">
        <f t="shared" si="187"/>
        <v>Muy Baja</v>
      </c>
      <c r="AE96" s="260">
        <f t="shared" ref="AE96" si="189">+AC96</f>
        <v>0.1512</v>
      </c>
      <c r="AF96" s="262" t="str">
        <f t="shared" si="154"/>
        <v>Mayor</v>
      </c>
      <c r="AG96" s="260">
        <f>IFERROR(IF(AND(V95="Impacto",V96="Impacto"),(AG95-(+AG95*Y96)),IF(V96="Impacto",($Q$94-(+$Q$94*Y96)),IF(V96="Probabilidad",AG95,""))),"")</f>
        <v>0.8</v>
      </c>
      <c r="AH96" s="264" t="str">
        <f t="shared" si="176"/>
        <v>Alto</v>
      </c>
      <c r="AI96" s="259" t="s">
        <v>26</v>
      </c>
      <c r="AJ96" s="236">
        <v>3</v>
      </c>
      <c r="AK96" s="236">
        <v>1</v>
      </c>
      <c r="AL96" s="236">
        <v>1</v>
      </c>
      <c r="AM96" s="236">
        <v>1</v>
      </c>
      <c r="AN96" s="247"/>
      <c r="AO96" s="246"/>
      <c r="AP96" s="246"/>
      <c r="AQ96" s="245"/>
      <c r="AR96" s="238"/>
      <c r="AS96" s="246"/>
      <c r="AT96" s="182"/>
    </row>
    <row r="97" spans="1:78" s="252" customFormat="1" ht="116.25" customHeight="1" x14ac:dyDescent="0.2">
      <c r="A97" s="281" t="s">
        <v>947</v>
      </c>
      <c r="B97" s="282" t="s">
        <v>753</v>
      </c>
      <c r="C97" s="211" t="s">
        <v>610</v>
      </c>
      <c r="D97" s="244" t="s">
        <v>619</v>
      </c>
      <c r="E97" s="244" t="s">
        <v>107</v>
      </c>
      <c r="F97" s="324" t="s">
        <v>1075</v>
      </c>
      <c r="G97" s="324" t="s">
        <v>1078</v>
      </c>
      <c r="H97" s="324" t="s">
        <v>1047</v>
      </c>
      <c r="I97" s="245" t="s">
        <v>654</v>
      </c>
      <c r="J97" s="245" t="s">
        <v>948</v>
      </c>
      <c r="K97" s="247">
        <v>4</v>
      </c>
      <c r="L97" s="284" t="str">
        <f t="shared" ref="L97" si="190">IF(K97&lt;=0,"",IF(K97&lt;=2,"Muy Baja",IF(K97&lt;=24,"Baja",IF(K97&lt;=500,"Media",IF(K97&lt;=5000,"Alta","Muy Alta")))))</f>
        <v>Baja</v>
      </c>
      <c r="M97" s="248">
        <f>IF(L97="","",IF(L97="Muy Baja",0.2,IF(L97="Baja",0.4,IF(L97="Media",0.6,IF(L97="Alta",0.8,IF(L97="Muy Alta",1,))))))</f>
        <v>0.4</v>
      </c>
      <c r="N97" s="285" t="s">
        <v>811</v>
      </c>
      <c r="O97" s="248" t="s">
        <v>811</v>
      </c>
      <c r="P97" s="284" t="s">
        <v>846</v>
      </c>
      <c r="Q97" s="248">
        <f>IF(P97="","",IF(P97="Leve",0.2,IF(P97="Menor",0.4,IF(P97="Moderado",0.6,IF(P97="Mayor",0.8,IF(P97="Catastrófico",1,))))))</f>
        <v>0.4</v>
      </c>
      <c r="R97" s="280" t="str">
        <f>IF(OR(AND(L97="Muy Baja",P97="Leve"),AND(L97="Muy Baja",P97="Menor"),AND(L97="Baja",P97="Leve")),"Bajo",IF(OR(AND(L97="Muy baja",P97="Moderado"),AND(L97="Baja",P97="Menor"),AND(L97="Baja",P97="Moderado"),AND(L97="Media",P97="Leve"),AND(L97="Media",P97="Menor"),AND(L97="Media",P97="Moderado"),AND(L97="Alta",P97="Leve"),AND(L97="Alta",P97="Menor")),"Moderado",IF(OR(AND(L97="Muy Baja",P97="Mayor"),AND(L97="Baja",P97="Mayor"),AND(L97="Media",P97="Mayor"),AND(L97="Alta",P97="Moderado"),AND(L97="Alta",P97="Mayor"),AND(L97="Muy Alta",P97="Leve"),AND(L97="Muy Alta",P97="Menor"),AND(L97="Muy Alta",P97="Moderado"),AND(L97="Muy Alta",P97="Mayor")),"Alto",IF(OR(AND(L97="Muy Baja",P97="Catastrófico"),AND(L97="Baja",P97="Catastrófico"),AND(L97="Media",P97="Catastrófico"),AND(L97="Alta",P97="Catastrófico"),AND(L97="Muy Alta",P97="Catastrófico")),"Extremo",""))))</f>
        <v>Moderado</v>
      </c>
      <c r="S97" s="235">
        <v>1</v>
      </c>
      <c r="T97" s="322" t="s">
        <v>949</v>
      </c>
      <c r="U97" s="305" t="s">
        <v>293</v>
      </c>
      <c r="V97" s="307" t="str">
        <f>IF(OR(W97="Preventivo",W97="Detectivo"),"Probabilidad",IF(W97="Correctivo","Impacto",""))</f>
        <v>Probabilidad</v>
      </c>
      <c r="W97" s="259" t="s">
        <v>13</v>
      </c>
      <c r="X97" s="259" t="s">
        <v>8</v>
      </c>
      <c r="Y97" s="260" t="str">
        <f t="shared" si="178"/>
        <v>40%</v>
      </c>
      <c r="Z97" s="259" t="s">
        <v>19</v>
      </c>
      <c r="AA97" s="259" t="s">
        <v>21</v>
      </c>
      <c r="AB97" s="259" t="s">
        <v>103</v>
      </c>
      <c r="AC97" s="261">
        <f t="shared" ref="AC97" si="191">IFERROR(IF(V97="Probabilidad",(M97-(+M97*Y97)),IF(V97="Impacto",M97,"")),"")</f>
        <v>0.24</v>
      </c>
      <c r="AD97" s="262" t="str">
        <f>IFERROR(IF(AC97="","",IF(AC97&lt;=0.2,"Muy Baja",IF(AC97&lt;=0.4,"Baja",IF(AC97&lt;=0.6,"Media",IF(AC97&lt;=0.8,"Alta","Muy Alta"))))),"")</f>
        <v>Baja</v>
      </c>
      <c r="AE97" s="260">
        <f>+AC97</f>
        <v>0.24</v>
      </c>
      <c r="AF97" s="262" t="str">
        <f t="shared" si="154"/>
        <v>Menor</v>
      </c>
      <c r="AG97" s="260">
        <f>IFERROR(IF(V97="Impacto",(Q97-(+Q97*Y97)),IF(V97="Probabilidad",Q97,"")),"")</f>
        <v>0.4</v>
      </c>
      <c r="AH97" s="264" t="str">
        <f t="shared" si="176"/>
        <v>Moderado</v>
      </c>
      <c r="AI97" s="259" t="s">
        <v>26</v>
      </c>
      <c r="AJ97" s="236">
        <v>4</v>
      </c>
      <c r="AK97" s="236">
        <v>1</v>
      </c>
      <c r="AL97" s="236">
        <v>1</v>
      </c>
      <c r="AM97" s="236">
        <v>2</v>
      </c>
      <c r="AN97" s="232"/>
      <c r="AO97" s="237"/>
      <c r="AP97" s="237"/>
      <c r="AQ97" s="231"/>
      <c r="AR97" s="239"/>
      <c r="AS97" s="240"/>
      <c r="AT97" s="182"/>
      <c r="AU97" s="251"/>
      <c r="AV97" s="251"/>
      <c r="AW97" s="251"/>
      <c r="AX97" s="251"/>
      <c r="AY97" s="251"/>
      <c r="AZ97" s="251"/>
      <c r="BA97" s="251"/>
      <c r="BB97" s="251"/>
      <c r="BC97" s="251"/>
      <c r="BD97" s="251"/>
      <c r="BE97" s="251"/>
      <c r="BF97" s="251"/>
      <c r="BG97" s="251"/>
      <c r="BH97" s="251"/>
      <c r="BI97" s="251"/>
      <c r="BJ97" s="251"/>
      <c r="BK97" s="251"/>
      <c r="BL97" s="251"/>
      <c r="BM97" s="251"/>
      <c r="BN97" s="251"/>
      <c r="BO97" s="251"/>
      <c r="BP97" s="251"/>
      <c r="BQ97" s="251"/>
      <c r="BR97" s="251"/>
      <c r="BS97" s="251"/>
      <c r="BT97" s="251"/>
      <c r="BU97" s="251"/>
      <c r="BV97" s="251"/>
      <c r="BW97" s="251"/>
      <c r="BX97" s="251"/>
      <c r="BY97" s="251"/>
      <c r="BZ97" s="251"/>
    </row>
    <row r="98" spans="1:78" s="251" customFormat="1" ht="59.25" customHeight="1" x14ac:dyDescent="0.2">
      <c r="A98" s="463" t="s">
        <v>808</v>
      </c>
      <c r="B98" s="464" t="s">
        <v>753</v>
      </c>
      <c r="C98" s="465" t="s">
        <v>762</v>
      </c>
      <c r="D98" s="466" t="s">
        <v>620</v>
      </c>
      <c r="E98" s="466" t="s">
        <v>107</v>
      </c>
      <c r="F98" s="467" t="s">
        <v>1076</v>
      </c>
      <c r="G98" s="467" t="s">
        <v>1077</v>
      </c>
      <c r="H98" s="467" t="s">
        <v>1071</v>
      </c>
      <c r="I98" s="492" t="s">
        <v>654</v>
      </c>
      <c r="J98" s="492" t="s">
        <v>835</v>
      </c>
      <c r="K98" s="493">
        <v>365</v>
      </c>
      <c r="L98" s="490" t="str">
        <f t="shared" ref="L98" si="192">IF(K98&lt;=0,"",IF(K98&lt;=2,"Muy Baja",IF(K98&lt;=24,"Baja",IF(K98&lt;=500,"Media",IF(K98&lt;=5000,"Alta","Muy Alta")))))</f>
        <v>Media</v>
      </c>
      <c r="M98" s="488">
        <f>IF(L98="","",IF(L98="Muy Baja",0.2,IF(L98="Baja",0.4,IF(L98="Media",0.6,IF(L98="Alta",0.8,IF(L98="Muy Alta",1,))))))</f>
        <v>0.6</v>
      </c>
      <c r="N98" s="489" t="s">
        <v>123</v>
      </c>
      <c r="O98" s="488" t="str">
        <f>IF(NOT(ISERROR(MATCH(N98,'Tabla Impacto'!$B$221:$B$223,0))),'Tabla Impacto'!$F$223&amp;"Por favor no seleccionar los criterios de impacto(Afectación Económica o presupuestal y Pérdida Reputacional)",N98)</f>
        <v xml:space="preserve">     El riesgo afecta la imagen de la entidad a nivel nacional, con efecto publicitarios sostenible a nivel país</v>
      </c>
      <c r="P98" s="490" t="str">
        <f>IF(OR(O98='Tabla Impacto'!$C$11,O98='Tabla Impacto'!$D$11),"Leve",IF(OR(O98='Tabla Impacto'!$C$12,O98='Tabla Impacto'!$D$12),"Menor",IF(OR(O98='Tabla Impacto'!$C$13,O98='Tabla Impacto'!$D$13),"Moderado",IF(OR(O98='Tabla Impacto'!$C$14,O98='Tabla Impacto'!$D$14),"Mayor",IF(OR(O98='Tabla Impacto'!$C$15,O98='Tabla Impacto'!$D$15),"Catastrófico","")))))</f>
        <v>Catastrófico</v>
      </c>
      <c r="Q98" s="488">
        <f>IF(P98="","",IF(P98="Leve",0.2,IF(P98="Menor",0.4,IF(P98="Moderado",0.6,IF(P98="Mayor",0.8,IF(P98="Catastrófico",1,))))))</f>
        <v>1</v>
      </c>
      <c r="R98" s="491" t="str">
        <f>IF(OR(AND(L98="Muy Baja",P98="Leve"),AND(L98="Muy Baja",P98="Menor"),AND(L98="Baja",P98="Leve")),"Bajo",IF(OR(AND(L98="Muy baja",P98="Moderado"),AND(L98="Baja",P98="Menor"),AND(L98="Baja",P98="Moderado"),AND(L98="Media",P98="Leve"),AND(L98="Media",P98="Menor"),AND(L98="Media",P98="Moderado"),AND(L98="Alta",P98="Leve"),AND(L98="Alta",P98="Menor")),"Moderado",IF(OR(AND(L98="Muy Baja",P98="Mayor"),AND(L98="Baja",P98="Mayor"),AND(L98="Media",P98="Mayor"),AND(L98="Alta",P98="Moderado"),AND(L98="Alta",P98="Mayor"),AND(L98="Muy Alta",P98="Leve"),AND(L98="Muy Alta",P98="Menor"),AND(L98="Muy Alta",P98="Moderado"),AND(L98="Muy Alta",P98="Mayor")),"Alto",IF(OR(AND(L98="Muy Baja",P98="Catastrófico"),AND(L98="Baja",P98="Catastrófico"),AND(L98="Media",P98="Catastrófico"),AND(L98="Alta",P98="Catastrófico"),AND(L98="Muy Alta",P98="Catastrófico")),"Extremo",""))))</f>
        <v>Extremo</v>
      </c>
      <c r="S98" s="235">
        <v>1</v>
      </c>
      <c r="T98" s="322" t="s">
        <v>1097</v>
      </c>
      <c r="U98" s="305" t="s">
        <v>293</v>
      </c>
      <c r="V98" s="307" t="str">
        <f t="shared" ref="V98:V99" si="193">IF(OR(W98="Preventivo",W98="Detectivo"),"Probabilidad",IF(W98="Correctivo","Impacto",""))</f>
        <v>Probabilidad</v>
      </c>
      <c r="W98" s="259" t="s">
        <v>13</v>
      </c>
      <c r="X98" s="259" t="s">
        <v>8</v>
      </c>
      <c r="Y98" s="260" t="str">
        <f t="shared" ref="Y98" si="194">IF(AND(W98="Preventivo",X98="Automático"),"50%",IF(AND(W98="Preventivo",X98="Manual"),"40%",IF(AND(W98="Detectivo",X98="Automático"),"40%",IF(AND(W98="Detectivo",X98="Manual"),"30%",IF(AND(W98="Correctivo",X98="Automático"),"35%",IF(AND(W98="Correctivo",X98="Manual"),"25%",""))))))</f>
        <v>40%</v>
      </c>
      <c r="Z98" s="259" t="s">
        <v>19</v>
      </c>
      <c r="AA98" s="259" t="s">
        <v>21</v>
      </c>
      <c r="AB98" s="259" t="s">
        <v>103</v>
      </c>
      <c r="AC98" s="261">
        <f t="shared" ref="AC98" si="195">IFERROR(IF(V98="Probabilidad",(M98-(+M98*Y98)),IF(V98="Impacto",M98,"")),"")</f>
        <v>0.36</v>
      </c>
      <c r="AD98" s="262" t="str">
        <f>IFERROR(IF(AC98="","",IF(AC98&lt;=0.2,"Muy Baja",IF(AC98&lt;=0.4,"Baja",IF(AC98&lt;=0.6,"Media",IF(AC98&lt;=0.8,"Alta","Muy Alta"))))),"")</f>
        <v>Baja</v>
      </c>
      <c r="AE98" s="260">
        <f>+AC98</f>
        <v>0.36</v>
      </c>
      <c r="AF98" s="262" t="str">
        <f t="shared" si="154"/>
        <v>Catastrófico</v>
      </c>
      <c r="AG98" s="263">
        <f>IFERROR(IF(V98="Impacto",(Q98-(+Q98*Y98)),IF(V98="Probabilidad",Q98,"")),"")</f>
        <v>1</v>
      </c>
      <c r="AH98" s="264" t="str">
        <f t="shared" si="176"/>
        <v>Extremo</v>
      </c>
      <c r="AI98" s="259" t="s">
        <v>26</v>
      </c>
      <c r="AJ98" s="236">
        <v>2</v>
      </c>
      <c r="AK98" s="236">
        <v>0</v>
      </c>
      <c r="AL98" s="236">
        <v>1</v>
      </c>
      <c r="AM98" s="236">
        <v>1</v>
      </c>
      <c r="AN98" s="247"/>
      <c r="AT98" s="182"/>
    </row>
    <row r="99" spans="1:78" s="251" customFormat="1" ht="129.75" customHeight="1" x14ac:dyDescent="0.2">
      <c r="A99" s="463"/>
      <c r="B99" s="464"/>
      <c r="C99" s="465"/>
      <c r="D99" s="466"/>
      <c r="E99" s="466"/>
      <c r="F99" s="467"/>
      <c r="G99" s="467"/>
      <c r="H99" s="467"/>
      <c r="I99" s="492"/>
      <c r="J99" s="492"/>
      <c r="K99" s="493"/>
      <c r="L99" s="490"/>
      <c r="M99" s="488"/>
      <c r="N99" s="489"/>
      <c r="O99" s="488">
        <f>IF(NOT(ISERROR(MATCH(N99,_xlfn.ANCHORARRAY(#REF!),0))),#REF!&amp;"Por favor no seleccionar los criterios de impacto",N99)</f>
        <v>0</v>
      </c>
      <c r="P99" s="490"/>
      <c r="Q99" s="488"/>
      <c r="R99" s="491"/>
      <c r="S99" s="184">
        <v>2</v>
      </c>
      <c r="T99" s="306" t="s">
        <v>1098</v>
      </c>
      <c r="U99" s="245" t="s">
        <v>293</v>
      </c>
      <c r="V99" s="201" t="str">
        <f t="shared" si="193"/>
        <v>Probabilidad</v>
      </c>
      <c r="W99" s="218" t="s">
        <v>13</v>
      </c>
      <c r="X99" s="218" t="s">
        <v>8</v>
      </c>
      <c r="Y99" s="202" t="str">
        <f t="shared" ref="Y99" si="196">IF(AND(W99="Preventivo",X99="Automático"),"50%",IF(AND(W99="Preventivo",X99="Manual"),"40%",IF(AND(W99="Detectivo",X99="Automático"),"40%",IF(AND(W99="Detectivo",X99="Manual"),"30%",IF(AND(W99="Correctivo",X99="Automático"),"35%",IF(AND(W99="Correctivo",X99="Manual"),"25%",""))))))</f>
        <v>40%</v>
      </c>
      <c r="Z99" s="218" t="s">
        <v>19</v>
      </c>
      <c r="AA99" s="218" t="s">
        <v>21</v>
      </c>
      <c r="AB99" s="218" t="s">
        <v>103</v>
      </c>
      <c r="AC99" s="203">
        <f t="shared" ref="AC99" si="197">IFERROR(IF(AND(V98="Probabilidad",V99="Probabilidad"),(AE98-(+AE98*Y99)),IF(V99="Probabilidad",(M98-(+M98*Y99)),IF(V99="Impacto",AE98,""))),"")</f>
        <v>0.216</v>
      </c>
      <c r="AD99" s="204" t="str">
        <f t="shared" ref="AD99" si="198">IFERROR(IF(AC99="","",IF(AC99&lt;=0.2,"Muy Baja",IF(AC99&lt;=0.4,"Baja",IF(AC99&lt;=0.6,"Media",IF(AC99&lt;=0.8,"Alta","Muy Alta"))))),"")</f>
        <v>Baja</v>
      </c>
      <c r="AE99" s="202">
        <f t="shared" ref="AE99" si="199">+AC99</f>
        <v>0.216</v>
      </c>
      <c r="AF99" s="262" t="str">
        <f t="shared" si="154"/>
        <v>Catastrófico</v>
      </c>
      <c r="AG99" s="202">
        <f>IFERROR(IF(AND(V98="Impacto",V99="Impacto"),(AG98-(+AG98*Y99)),IF(V99="Impacto",($Q$83-(+$Q$83*Y99)),IF(V99="Probabilidad",AG98,""))),"")</f>
        <v>1</v>
      </c>
      <c r="AH99" s="264" t="str">
        <f t="shared" si="176"/>
        <v>Extremo</v>
      </c>
      <c r="AI99" s="218" t="s">
        <v>26</v>
      </c>
      <c r="AJ99" s="247">
        <v>4</v>
      </c>
      <c r="AK99" s="247">
        <v>1</v>
      </c>
      <c r="AL99" s="247">
        <v>1</v>
      </c>
      <c r="AM99" s="247">
        <v>2</v>
      </c>
      <c r="AN99" s="247"/>
      <c r="AT99" s="182"/>
    </row>
    <row r="100" spans="1:78" s="251" customFormat="1" ht="145.5" customHeight="1" x14ac:dyDescent="0.2">
      <c r="A100" s="281" t="s">
        <v>903</v>
      </c>
      <c r="B100" s="286" t="s">
        <v>753</v>
      </c>
      <c r="C100" s="211" t="s">
        <v>280</v>
      </c>
      <c r="D100" s="244" t="s">
        <v>619</v>
      </c>
      <c r="E100" s="244" t="s">
        <v>109</v>
      </c>
      <c r="F100" s="306" t="s">
        <v>905</v>
      </c>
      <c r="G100" s="306" t="s">
        <v>673</v>
      </c>
      <c r="H100" s="306" t="s">
        <v>1072</v>
      </c>
      <c r="I100" s="245" t="s">
        <v>654</v>
      </c>
      <c r="J100" s="245" t="s">
        <v>902</v>
      </c>
      <c r="K100" s="247">
        <v>600</v>
      </c>
      <c r="L100" s="284" t="str">
        <f t="shared" ref="L100" si="200">IF(K100&lt;=0,"",IF(K100&lt;=2,"Muy Baja",IF(K100&lt;=24,"Baja",IF(K100&lt;=500,"Media",IF(K100&lt;=5000,"Alta","Muy Alta")))))</f>
        <v>Alta</v>
      </c>
      <c r="M100" s="248">
        <f>IF(L100="","",IF(L100="Muy Baja",0.2,IF(L100="Baja",0.4,IF(L100="Media",0.6,IF(L100="Alta",0.8,IF(L100="Muy Alta",1,))))))</f>
        <v>0.8</v>
      </c>
      <c r="N100" s="285" t="s">
        <v>121</v>
      </c>
      <c r="O100" s="248" t="str">
        <f>IF(NOT(ISERROR(MATCH(N100,'Tabla Impacto'!$B$221:$B$223,0))),'Tabla Impacto'!$F$223&amp;"Por favor no seleccionar los criterios de impacto(Afectación Económica o presupuestal y Pérdida Reputacional)",N100)</f>
        <v xml:space="preserve">     El riesgo afecta la imagen de la entidad con algunos usuarios de relevancia frente al logro de los objetivos</v>
      </c>
      <c r="P100" s="284" t="s">
        <v>67</v>
      </c>
      <c r="Q100" s="248">
        <f>IF(P100="","",IF(P100="Leve",0.2,IF(P100="Menor",0.4,IF(P100="Moderado",0.6,IF(P100="Mayor",0.8,IF(P100="Catastrófico",1,))))))</f>
        <v>0.6</v>
      </c>
      <c r="R100" s="280" t="str">
        <f>IF(OR(AND(L100="Muy Baja",P100="Leve"),AND(L100="Muy Baja",P100="Menor"),AND(L100="Baja",P100="Leve")),"Bajo",IF(OR(AND(L100="Muy baja",P100="Moderado"),AND(L100="Baja",P100="Menor"),AND(L100="Baja",P100="Moderado"),AND(L100="Media",P100="Leve"),AND(L100="Media",P100="Menor"),AND(L100="Media",P100="Moderado"),AND(L100="Alta",P100="Leve"),AND(L100="Alta",P100="Menor")),"Moderado",IF(OR(AND(L100="Muy Baja",P100="Mayor"),AND(L100="Baja",P100="Mayor"),AND(L100="Media",P100="Mayor"),AND(L100="Alta",P100="Moderado"),AND(L100="Alta",P100="Mayor"),AND(L100="Muy Alta",P100="Leve"),AND(L100="Muy Alta",P100="Menor"),AND(L100="Muy Alta",P100="Moderado"),AND(L100="Muy Alta",P100="Mayor")),"Alto",IF(OR(AND(L100="Muy Baja",P100="Catastrófico"),AND(L100="Baja",P100="Catastrófico"),AND(L100="Media",P100="Catastrófico"),AND(L100="Alta",P100="Catastrófico"),AND(L100="Muy Alta",P100="Catastrófico")),"Extremo",""))))</f>
        <v>Alto</v>
      </c>
      <c r="S100" s="235">
        <v>1</v>
      </c>
      <c r="T100" s="322" t="s">
        <v>904</v>
      </c>
      <c r="U100" s="305" t="s">
        <v>293</v>
      </c>
      <c r="V100" s="307" t="str">
        <f>IF(OR(W100="Preventivo",W100="Detectivo"),"Probabilidad",IF(W100="Correctivo","Impacto",""))</f>
        <v>Probabilidad</v>
      </c>
      <c r="W100" s="259" t="s">
        <v>13</v>
      </c>
      <c r="X100" s="259" t="s">
        <v>8</v>
      </c>
      <c r="Y100" s="260" t="str">
        <f t="shared" ref="Y100" si="201">IF(AND(W100="Preventivo",X100="Automático"),"50%",IF(AND(W100="Preventivo",X100="Manual"),"40%",IF(AND(W100="Detectivo",X100="Automático"),"40%",IF(AND(W100="Detectivo",X100="Manual"),"30%",IF(AND(W100="Correctivo",X100="Automático"),"35%",IF(AND(W100="Correctivo",X100="Manual"),"25%",""))))))</f>
        <v>40%</v>
      </c>
      <c r="Z100" s="259" t="s">
        <v>18</v>
      </c>
      <c r="AA100" s="259" t="s">
        <v>21</v>
      </c>
      <c r="AB100" s="259" t="s">
        <v>103</v>
      </c>
      <c r="AC100" s="261">
        <f t="shared" ref="AC100" si="202">IFERROR(IF(V100="Probabilidad",(M100-(+M100*Y100)),IF(V100="Impacto",M100,"")),"")</f>
        <v>0.48</v>
      </c>
      <c r="AD100" s="262" t="str">
        <f>IFERROR(IF(AC100="","",IF(AC100&lt;=0.2,"Muy Baja",IF(AC100&lt;=0.4,"Baja",IF(AC100&lt;=0.6,"Media",IF(AC100&lt;=0.8,"Alta","Muy Alta"))))),"")</f>
        <v>Media</v>
      </c>
      <c r="AE100" s="260">
        <f>+AC100</f>
        <v>0.48</v>
      </c>
      <c r="AF100" s="262" t="str">
        <f t="shared" si="154"/>
        <v>Moderado</v>
      </c>
      <c r="AG100" s="265">
        <f>IFERROR(IF(V100="Impacto",(Q100-(+Q100*Y100)),IF(V100="Probabilidad",Q100,"")),"")</f>
        <v>0.6</v>
      </c>
      <c r="AH100" s="264" t="str">
        <f t="shared" si="176"/>
        <v>Moderado</v>
      </c>
      <c r="AI100" s="259" t="s">
        <v>26</v>
      </c>
      <c r="AJ100" s="236">
        <v>12</v>
      </c>
      <c r="AK100" s="236">
        <v>4</v>
      </c>
      <c r="AL100" s="236">
        <v>4</v>
      </c>
      <c r="AM100" s="236">
        <v>4</v>
      </c>
      <c r="AN100" s="247"/>
      <c r="AO100" s="245"/>
      <c r="AP100" s="245"/>
      <c r="AQ100" s="247"/>
      <c r="AR100" s="206"/>
      <c r="AS100" s="206"/>
      <c r="AT100" s="182"/>
    </row>
  </sheetData>
  <autoFilter ref="A3:AM100" xr:uid="{00000000-0001-0000-0300-000000000000}">
    <filterColumn colId="5" showButton="0"/>
    <filterColumn colId="22" showButton="0"/>
    <filterColumn colId="23" showButton="0"/>
    <filterColumn colId="24" showButton="0"/>
    <filterColumn colId="25" showButton="0"/>
    <filterColumn colId="26" showButton="0"/>
  </autoFilter>
  <mergeCells count="536">
    <mergeCell ref="A89:A90"/>
    <mergeCell ref="C89:C90"/>
    <mergeCell ref="D89:D90"/>
    <mergeCell ref="P7:P10"/>
    <mergeCell ref="Q7:Q10"/>
    <mergeCell ref="R7:R10"/>
    <mergeCell ref="A86:A87"/>
    <mergeCell ref="C86:C87"/>
    <mergeCell ref="D86:D87"/>
    <mergeCell ref="E86:E87"/>
    <mergeCell ref="F86:F87"/>
    <mergeCell ref="G86:G87"/>
    <mergeCell ref="H86:H87"/>
    <mergeCell ref="I86:I87"/>
    <mergeCell ref="L86:L87"/>
    <mergeCell ref="M86:M87"/>
    <mergeCell ref="J86:J87"/>
    <mergeCell ref="N86:N87"/>
    <mergeCell ref="O86:O87"/>
    <mergeCell ref="A7:A10"/>
    <mergeCell ref="C7:C10"/>
    <mergeCell ref="D7:D10"/>
    <mergeCell ref="E7:E10"/>
    <mergeCell ref="F7:F10"/>
    <mergeCell ref="G7:G10"/>
    <mergeCell ref="H7:H10"/>
    <mergeCell ref="I7:I10"/>
    <mergeCell ref="J7:J10"/>
    <mergeCell ref="K7:K10"/>
    <mergeCell ref="L7:L10"/>
    <mergeCell ref="M7:M10"/>
    <mergeCell ref="N7:N10"/>
    <mergeCell ref="O7:O10"/>
    <mergeCell ref="B86:B87"/>
    <mergeCell ref="L89:L90"/>
    <mergeCell ref="M89:M90"/>
    <mergeCell ref="N89:N90"/>
    <mergeCell ref="P89:P90"/>
    <mergeCell ref="Q89:Q90"/>
    <mergeCell ref="R89:R90"/>
    <mergeCell ref="E89:E90"/>
    <mergeCell ref="F89:F90"/>
    <mergeCell ref="G89:G90"/>
    <mergeCell ref="H89:H90"/>
    <mergeCell ref="I89:I90"/>
    <mergeCell ref="J89:J90"/>
    <mergeCell ref="K89:K90"/>
    <mergeCell ref="O89:O90"/>
    <mergeCell ref="P86:P87"/>
    <mergeCell ref="Q86:Q87"/>
    <mergeCell ref="R86:R87"/>
    <mergeCell ref="K86:K87"/>
    <mergeCell ref="B7:B10"/>
    <mergeCell ref="B89:B90"/>
    <mergeCell ref="R54:R56"/>
    <mergeCell ref="A57:A58"/>
    <mergeCell ref="B57:B58"/>
    <mergeCell ref="C57:C58"/>
    <mergeCell ref="D57:D58"/>
    <mergeCell ref="E57:E58"/>
    <mergeCell ref="F57:F58"/>
    <mergeCell ref="G57:G58"/>
    <mergeCell ref="H57:H58"/>
    <mergeCell ref="I57:I58"/>
    <mergeCell ref="J57:J58"/>
    <mergeCell ref="K57:K58"/>
    <mergeCell ref="L57:L58"/>
    <mergeCell ref="M57:M58"/>
    <mergeCell ref="N57:N58"/>
    <mergeCell ref="P57:P58"/>
    <mergeCell ref="Q57:Q58"/>
    <mergeCell ref="R57:R58"/>
    <mergeCell ref="J51:J53"/>
    <mergeCell ref="K51:K53"/>
    <mergeCell ref="L51:L53"/>
    <mergeCell ref="M51:M53"/>
    <mergeCell ref="R51:R53"/>
    <mergeCell ref="A54:A56"/>
    <mergeCell ref="B54:B56"/>
    <mergeCell ref="C54:C56"/>
    <mergeCell ref="D54:D56"/>
    <mergeCell ref="E54:E56"/>
    <mergeCell ref="F54:F56"/>
    <mergeCell ref="G54:G56"/>
    <mergeCell ref="H54:H56"/>
    <mergeCell ref="I54:I56"/>
    <mergeCell ref="J54:J56"/>
    <mergeCell ref="K54:K56"/>
    <mergeCell ref="L54:L56"/>
    <mergeCell ref="M54:M56"/>
    <mergeCell ref="N54:N56"/>
    <mergeCell ref="P54:P56"/>
    <mergeCell ref="Q54:Q56"/>
    <mergeCell ref="A51:A53"/>
    <mergeCell ref="B51:B53"/>
    <mergeCell ref="C51:C53"/>
    <mergeCell ref="D51:D53"/>
    <mergeCell ref="E51:E53"/>
    <mergeCell ref="F51:F53"/>
    <mergeCell ref="G51:G53"/>
    <mergeCell ref="H51:H53"/>
    <mergeCell ref="I51:I53"/>
    <mergeCell ref="A29:A30"/>
    <mergeCell ref="B29:B30"/>
    <mergeCell ref="C29:C30"/>
    <mergeCell ref="D29:D30"/>
    <mergeCell ref="E29:E30"/>
    <mergeCell ref="F29:F30"/>
    <mergeCell ref="G29:G30"/>
    <mergeCell ref="H29:H30"/>
    <mergeCell ref="I29:I30"/>
    <mergeCell ref="A45:A48"/>
    <mergeCell ref="B45:B48"/>
    <mergeCell ref="C45:C48"/>
    <mergeCell ref="D45:D48"/>
    <mergeCell ref="E45:E48"/>
    <mergeCell ref="F45:F48"/>
    <mergeCell ref="G45:G48"/>
    <mergeCell ref="H45:H48"/>
    <mergeCell ref="I45:I48"/>
    <mergeCell ref="A43:A44"/>
    <mergeCell ref="R29:R30"/>
    <mergeCell ref="J23:J24"/>
    <mergeCell ref="K23:K24"/>
    <mergeCell ref="L23:L24"/>
    <mergeCell ref="M23:M24"/>
    <mergeCell ref="N23:N24"/>
    <mergeCell ref="P23:P24"/>
    <mergeCell ref="Q23:Q24"/>
    <mergeCell ref="R23:R24"/>
    <mergeCell ref="A23:A24"/>
    <mergeCell ref="B23:B24"/>
    <mergeCell ref="C23:C24"/>
    <mergeCell ref="D23:D24"/>
    <mergeCell ref="E23:E24"/>
    <mergeCell ref="F23:F24"/>
    <mergeCell ref="G23:G24"/>
    <mergeCell ref="H23:H24"/>
    <mergeCell ref="I23:I24"/>
    <mergeCell ref="R17:R20"/>
    <mergeCell ref="A21:A22"/>
    <mergeCell ref="B21:B22"/>
    <mergeCell ref="C21:C22"/>
    <mergeCell ref="D21:D22"/>
    <mergeCell ref="E21:E22"/>
    <mergeCell ref="F21:F22"/>
    <mergeCell ref="G21:G22"/>
    <mergeCell ref="H21:H22"/>
    <mergeCell ref="I21:I22"/>
    <mergeCell ref="J21:J22"/>
    <mergeCell ref="K21:K22"/>
    <mergeCell ref="L21:L22"/>
    <mergeCell ref="M21:M22"/>
    <mergeCell ref="N21:N22"/>
    <mergeCell ref="P21:P22"/>
    <mergeCell ref="Q21:Q22"/>
    <mergeCell ref="R21:R22"/>
    <mergeCell ref="A17:A20"/>
    <mergeCell ref="B17:B20"/>
    <mergeCell ref="C17:C20"/>
    <mergeCell ref="D17:D20"/>
    <mergeCell ref="E17:E20"/>
    <mergeCell ref="F17:F20"/>
    <mergeCell ref="G17:G20"/>
    <mergeCell ref="H17:H20"/>
    <mergeCell ref="I17:I20"/>
    <mergeCell ref="J17:J20"/>
    <mergeCell ref="K17:K20"/>
    <mergeCell ref="L17:L20"/>
    <mergeCell ref="M17:M20"/>
    <mergeCell ref="N17:N20"/>
    <mergeCell ref="P17:P20"/>
    <mergeCell ref="R66:R67"/>
    <mergeCell ref="J59:J60"/>
    <mergeCell ref="K59:K60"/>
    <mergeCell ref="L59:L60"/>
    <mergeCell ref="M59:M60"/>
    <mergeCell ref="N59:N60"/>
    <mergeCell ref="P59:P60"/>
    <mergeCell ref="Q59:Q60"/>
    <mergeCell ref="R59:R60"/>
    <mergeCell ref="R62:R63"/>
    <mergeCell ref="M62:M63"/>
    <mergeCell ref="N62:N63"/>
    <mergeCell ref="P62:P63"/>
    <mergeCell ref="Q62:Q63"/>
    <mergeCell ref="Q17:Q20"/>
    <mergeCell ref="J66:J67"/>
    <mergeCell ref="K66:K67"/>
    <mergeCell ref="L66:L67"/>
    <mergeCell ref="M66:M67"/>
    <mergeCell ref="N66:N67"/>
    <mergeCell ref="P66:P67"/>
    <mergeCell ref="Q66:Q67"/>
    <mergeCell ref="J29:J30"/>
    <mergeCell ref="K29:K30"/>
    <mergeCell ref="L29:L30"/>
    <mergeCell ref="M29:M30"/>
    <mergeCell ref="N29:N30"/>
    <mergeCell ref="P29:P30"/>
    <mergeCell ref="Q29:Q30"/>
    <mergeCell ref="N51:N53"/>
    <mergeCell ref="P51:P53"/>
    <mergeCell ref="Q51:Q53"/>
    <mergeCell ref="D62:D63"/>
    <mergeCell ref="E62:E63"/>
    <mergeCell ref="F62:F63"/>
    <mergeCell ref="G62:G63"/>
    <mergeCell ref="H62:H63"/>
    <mergeCell ref="I62:I63"/>
    <mergeCell ref="J62:J63"/>
    <mergeCell ref="K62:K63"/>
    <mergeCell ref="L62:L63"/>
    <mergeCell ref="A98:A99"/>
    <mergeCell ref="B98:B99"/>
    <mergeCell ref="C98:C99"/>
    <mergeCell ref="D98:D99"/>
    <mergeCell ref="E98:E99"/>
    <mergeCell ref="F98:F99"/>
    <mergeCell ref="G98:G99"/>
    <mergeCell ref="N98:N99"/>
    <mergeCell ref="A59:A60"/>
    <mergeCell ref="B59:B60"/>
    <mergeCell ref="C59:C60"/>
    <mergeCell ref="D59:D60"/>
    <mergeCell ref="E59:E60"/>
    <mergeCell ref="F59:F60"/>
    <mergeCell ref="G59:G60"/>
    <mergeCell ref="H59:H60"/>
    <mergeCell ref="I59:I60"/>
    <mergeCell ref="A66:A67"/>
    <mergeCell ref="B66:B67"/>
    <mergeCell ref="C66:C67"/>
    <mergeCell ref="D66:D67"/>
    <mergeCell ref="A62:A63"/>
    <mergeCell ref="B62:B63"/>
    <mergeCell ref="C62:C63"/>
    <mergeCell ref="O98:O99"/>
    <mergeCell ref="P98:P99"/>
    <mergeCell ref="Q98:Q99"/>
    <mergeCell ref="R98:R99"/>
    <mergeCell ref="H98:H99"/>
    <mergeCell ref="I98:I99"/>
    <mergeCell ref="J98:J99"/>
    <mergeCell ref="K98:K99"/>
    <mergeCell ref="L98:L99"/>
    <mergeCell ref="M98:M99"/>
    <mergeCell ref="J76:J80"/>
    <mergeCell ref="K76:K80"/>
    <mergeCell ref="A76:A80"/>
    <mergeCell ref="B76:B80"/>
    <mergeCell ref="C76:C80"/>
    <mergeCell ref="D76:D80"/>
    <mergeCell ref="E76:E80"/>
    <mergeCell ref="F76:F80"/>
    <mergeCell ref="G76:G80"/>
    <mergeCell ref="H76:H80"/>
    <mergeCell ref="I76:I80"/>
    <mergeCell ref="P76:P80"/>
    <mergeCell ref="Q76:Q80"/>
    <mergeCell ref="R76:R80"/>
    <mergeCell ref="L76:L80"/>
    <mergeCell ref="M76:M80"/>
    <mergeCell ref="N76:N80"/>
    <mergeCell ref="M72:M74"/>
    <mergeCell ref="N72:N74"/>
    <mergeCell ref="P72:P74"/>
    <mergeCell ref="Q72:Q74"/>
    <mergeCell ref="R72:R74"/>
    <mergeCell ref="O76:O80"/>
    <mergeCell ref="G72:G74"/>
    <mergeCell ref="H72:H74"/>
    <mergeCell ref="I72:I74"/>
    <mergeCell ref="J72:J74"/>
    <mergeCell ref="K72:K74"/>
    <mergeCell ref="L72:L74"/>
    <mergeCell ref="A72:A74"/>
    <mergeCell ref="B72:B74"/>
    <mergeCell ref="C72:C74"/>
    <mergeCell ref="D72:D74"/>
    <mergeCell ref="E72:E74"/>
    <mergeCell ref="F72:F74"/>
    <mergeCell ref="R69:R71"/>
    <mergeCell ref="J69:J71"/>
    <mergeCell ref="K69:K71"/>
    <mergeCell ref="L69:L71"/>
    <mergeCell ref="M69:M71"/>
    <mergeCell ref="N69:N71"/>
    <mergeCell ref="O69:O71"/>
    <mergeCell ref="A69:A71"/>
    <mergeCell ref="B69:B71"/>
    <mergeCell ref="C69:C71"/>
    <mergeCell ref="D69:D71"/>
    <mergeCell ref="E69:E71"/>
    <mergeCell ref="F69:F71"/>
    <mergeCell ref="G69:G71"/>
    <mergeCell ref="H69:H71"/>
    <mergeCell ref="I69:I71"/>
    <mergeCell ref="Q64:Q65"/>
    <mergeCell ref="P69:P71"/>
    <mergeCell ref="Q69:Q71"/>
    <mergeCell ref="E66:E67"/>
    <mergeCell ref="F66:F67"/>
    <mergeCell ref="G66:G67"/>
    <mergeCell ref="H66:H67"/>
    <mergeCell ref="I66:I67"/>
    <mergeCell ref="R64:R65"/>
    <mergeCell ref="G64:G65"/>
    <mergeCell ref="H64:H65"/>
    <mergeCell ref="I64:I65"/>
    <mergeCell ref="J64:J65"/>
    <mergeCell ref="K64:K65"/>
    <mergeCell ref="L64:L65"/>
    <mergeCell ref="A64:A65"/>
    <mergeCell ref="B64:B65"/>
    <mergeCell ref="C64:C65"/>
    <mergeCell ref="D64:D65"/>
    <mergeCell ref="E64:E65"/>
    <mergeCell ref="F64:F65"/>
    <mergeCell ref="M64:M65"/>
    <mergeCell ref="N64:N65"/>
    <mergeCell ref="P64:P65"/>
    <mergeCell ref="J45:J48"/>
    <mergeCell ref="K45:K48"/>
    <mergeCell ref="L45:L48"/>
    <mergeCell ref="N43:N44"/>
    <mergeCell ref="P43:P44"/>
    <mergeCell ref="Q43:Q44"/>
    <mergeCell ref="R43:R44"/>
    <mergeCell ref="Q41:Q42"/>
    <mergeCell ref="R41:R42"/>
    <mergeCell ref="K41:K42"/>
    <mergeCell ref="L41:L42"/>
    <mergeCell ref="L43:L44"/>
    <mergeCell ref="M43:M44"/>
    <mergeCell ref="M45:M48"/>
    <mergeCell ref="N45:N48"/>
    <mergeCell ref="P45:P48"/>
    <mergeCell ref="K43:K44"/>
    <mergeCell ref="M41:M42"/>
    <mergeCell ref="N41:N42"/>
    <mergeCell ref="P41:P42"/>
    <mergeCell ref="Q45:Q48"/>
    <mergeCell ref="R45:R48"/>
    <mergeCell ref="B43:B44"/>
    <mergeCell ref="C43:C44"/>
    <mergeCell ref="D43:D44"/>
    <mergeCell ref="E43:E44"/>
    <mergeCell ref="G41:G42"/>
    <mergeCell ref="H41:H42"/>
    <mergeCell ref="I41:I42"/>
    <mergeCell ref="J41:J42"/>
    <mergeCell ref="A41:A42"/>
    <mergeCell ref="B41:B42"/>
    <mergeCell ref="C41:C42"/>
    <mergeCell ref="D41:D42"/>
    <mergeCell ref="E41:E42"/>
    <mergeCell ref="F41:F42"/>
    <mergeCell ref="F43:F44"/>
    <mergeCell ref="G43:G44"/>
    <mergeCell ref="H43:H44"/>
    <mergeCell ref="I43:I44"/>
    <mergeCell ref="J43:J44"/>
    <mergeCell ref="N38:N40"/>
    <mergeCell ref="P38:P40"/>
    <mergeCell ref="Q38:Q40"/>
    <mergeCell ref="R38:R40"/>
    <mergeCell ref="F38:F40"/>
    <mergeCell ref="G38:G40"/>
    <mergeCell ref="H38:H40"/>
    <mergeCell ref="I38:I40"/>
    <mergeCell ref="J38:J40"/>
    <mergeCell ref="K38:K40"/>
    <mergeCell ref="M33:M37"/>
    <mergeCell ref="N33:N37"/>
    <mergeCell ref="P33:P37"/>
    <mergeCell ref="Q33:Q37"/>
    <mergeCell ref="R33:R37"/>
    <mergeCell ref="A38:A40"/>
    <mergeCell ref="B38:B40"/>
    <mergeCell ref="C38:C40"/>
    <mergeCell ref="D38:D40"/>
    <mergeCell ref="E38:E40"/>
    <mergeCell ref="G33:G37"/>
    <mergeCell ref="H33:H37"/>
    <mergeCell ref="I33:I37"/>
    <mergeCell ref="J33:J37"/>
    <mergeCell ref="K33:K37"/>
    <mergeCell ref="L33:L37"/>
    <mergeCell ref="A33:A37"/>
    <mergeCell ref="B33:B37"/>
    <mergeCell ref="C33:C37"/>
    <mergeCell ref="D33:D37"/>
    <mergeCell ref="E33:E37"/>
    <mergeCell ref="F33:F37"/>
    <mergeCell ref="L38:L40"/>
    <mergeCell ref="M38:M40"/>
    <mergeCell ref="N31:N32"/>
    <mergeCell ref="P31:P32"/>
    <mergeCell ref="Q31:Q32"/>
    <mergeCell ref="R31:R32"/>
    <mergeCell ref="F31:F32"/>
    <mergeCell ref="G31:G32"/>
    <mergeCell ref="H31:H32"/>
    <mergeCell ref="I31:I32"/>
    <mergeCell ref="J31:J32"/>
    <mergeCell ref="K31:K32"/>
    <mergeCell ref="M94:M96"/>
    <mergeCell ref="N94:N96"/>
    <mergeCell ref="P94:P96"/>
    <mergeCell ref="Q94:Q96"/>
    <mergeCell ref="R94:R96"/>
    <mergeCell ref="A31:A32"/>
    <mergeCell ref="B31:B32"/>
    <mergeCell ref="C31:C32"/>
    <mergeCell ref="D31:D32"/>
    <mergeCell ref="E31:E32"/>
    <mergeCell ref="G94:G96"/>
    <mergeCell ref="H94:H96"/>
    <mergeCell ref="I94:I96"/>
    <mergeCell ref="J94:J96"/>
    <mergeCell ref="K94:K96"/>
    <mergeCell ref="L94:L96"/>
    <mergeCell ref="A94:A96"/>
    <mergeCell ref="B94:B96"/>
    <mergeCell ref="C94:C96"/>
    <mergeCell ref="D94:D96"/>
    <mergeCell ref="E94:E96"/>
    <mergeCell ref="F94:F96"/>
    <mergeCell ref="L31:L32"/>
    <mergeCell ref="M31:M32"/>
    <mergeCell ref="N92:N93"/>
    <mergeCell ref="P92:P93"/>
    <mergeCell ref="Q92:Q93"/>
    <mergeCell ref="R92:R93"/>
    <mergeCell ref="F92:F93"/>
    <mergeCell ref="G92:G93"/>
    <mergeCell ref="H92:H93"/>
    <mergeCell ref="I92:I93"/>
    <mergeCell ref="J92:J93"/>
    <mergeCell ref="K92:K93"/>
    <mergeCell ref="M14:M16"/>
    <mergeCell ref="N14:N16"/>
    <mergeCell ref="P14:P16"/>
    <mergeCell ref="Q14:Q16"/>
    <mergeCell ref="R14:R16"/>
    <mergeCell ref="A92:A93"/>
    <mergeCell ref="B92:B93"/>
    <mergeCell ref="C92:C93"/>
    <mergeCell ref="D92:D93"/>
    <mergeCell ref="E92:E93"/>
    <mergeCell ref="G14:G16"/>
    <mergeCell ref="H14:H16"/>
    <mergeCell ref="I14:I16"/>
    <mergeCell ref="J14:J16"/>
    <mergeCell ref="K14:K16"/>
    <mergeCell ref="L14:L16"/>
    <mergeCell ref="A14:A16"/>
    <mergeCell ref="B14:B16"/>
    <mergeCell ref="C14:C16"/>
    <mergeCell ref="D14:D16"/>
    <mergeCell ref="E14:E16"/>
    <mergeCell ref="F14:F16"/>
    <mergeCell ref="L92:L93"/>
    <mergeCell ref="M92:M93"/>
    <mergeCell ref="M11:M13"/>
    <mergeCell ref="N11:N13"/>
    <mergeCell ref="P11:P13"/>
    <mergeCell ref="Q11:Q13"/>
    <mergeCell ref="R11:R13"/>
    <mergeCell ref="G11:G13"/>
    <mergeCell ref="H11:H13"/>
    <mergeCell ref="I11:I13"/>
    <mergeCell ref="J11:J13"/>
    <mergeCell ref="K11:K13"/>
    <mergeCell ref="L11:L13"/>
    <mergeCell ref="A11:A13"/>
    <mergeCell ref="B11:B13"/>
    <mergeCell ref="C11:C13"/>
    <mergeCell ref="D11:D13"/>
    <mergeCell ref="E11:E13"/>
    <mergeCell ref="F11:F13"/>
    <mergeCell ref="Z4:Z6"/>
    <mergeCell ref="AA4:AA6"/>
    <mergeCell ref="AB4:AB6"/>
    <mergeCell ref="W4:W6"/>
    <mergeCell ref="X4:X6"/>
    <mergeCell ref="Y4:Y6"/>
    <mergeCell ref="F3:G4"/>
    <mergeCell ref="F5:F6"/>
    <mergeCell ref="G5:G6"/>
    <mergeCell ref="T3:T6"/>
    <mergeCell ref="U3:U6"/>
    <mergeCell ref="V3:V6"/>
    <mergeCell ref="N3:N6"/>
    <mergeCell ref="O3:O6"/>
    <mergeCell ref="P3:P6"/>
    <mergeCell ref="Q3:Q6"/>
    <mergeCell ref="R3:R6"/>
    <mergeCell ref="S3:S6"/>
    <mergeCell ref="AK3:AK6"/>
    <mergeCell ref="AL3:AL6"/>
    <mergeCell ref="AM3:AM6"/>
    <mergeCell ref="AN3:AN6"/>
    <mergeCell ref="AO3:AO6"/>
    <mergeCell ref="AP3:AP6"/>
    <mergeCell ref="AE3:AE6"/>
    <mergeCell ref="AF3:AF6"/>
    <mergeCell ref="AG3:AG6"/>
    <mergeCell ref="AH3:AH6"/>
    <mergeCell ref="AI3:AI6"/>
    <mergeCell ref="AJ3:AJ6"/>
    <mergeCell ref="W3:AB3"/>
    <mergeCell ref="AC3:AC6"/>
    <mergeCell ref="AD3:AD6"/>
    <mergeCell ref="A1:AS1"/>
    <mergeCell ref="A2:K2"/>
    <mergeCell ref="L2:R2"/>
    <mergeCell ref="S2:AB2"/>
    <mergeCell ref="AC2:AI2"/>
    <mergeCell ref="AJ2:AN2"/>
    <mergeCell ref="AO2:AS2"/>
    <mergeCell ref="H3:H6"/>
    <mergeCell ref="I3:I6"/>
    <mergeCell ref="J3:J6"/>
    <mergeCell ref="K3:K6"/>
    <mergeCell ref="L3:L6"/>
    <mergeCell ref="M3:M6"/>
    <mergeCell ref="A3:A6"/>
    <mergeCell ref="B3:B6"/>
    <mergeCell ref="C3:C6"/>
    <mergeCell ref="D3:D6"/>
    <mergeCell ref="E3:E6"/>
    <mergeCell ref="AQ3:AQ6"/>
    <mergeCell ref="AR3:AR6"/>
    <mergeCell ref="AS3:AS6"/>
  </mergeCells>
  <conditionalFormatting sqref="C11">
    <cfRule type="cellIs" dxfId="622" priority="512" operator="equal">
      <formula>#REF!</formula>
    </cfRule>
    <cfRule type="cellIs" dxfId="621" priority="513" operator="equal">
      <formula>#REF!</formula>
    </cfRule>
    <cfRule type="cellIs" dxfId="620" priority="522" operator="equal">
      <formula>#REF!</formula>
    </cfRule>
    <cfRule type="cellIs" dxfId="619" priority="525" operator="equal">
      <formula>#REF!</formula>
    </cfRule>
  </conditionalFormatting>
  <conditionalFormatting sqref="C14">
    <cfRule type="cellIs" dxfId="618" priority="653" operator="equal">
      <formula>#REF!</formula>
    </cfRule>
    <cfRule type="cellIs" dxfId="617" priority="654" operator="equal">
      <formula>#REF!</formula>
    </cfRule>
    <cfRule type="cellIs" dxfId="616" priority="663" operator="equal">
      <formula>#REF!</formula>
    </cfRule>
    <cfRule type="cellIs" dxfId="615" priority="666" operator="equal">
      <formula>#REF!</formula>
    </cfRule>
  </conditionalFormatting>
  <conditionalFormatting sqref="C17 C21 C23 C25:C29">
    <cfRule type="cellIs" dxfId="614" priority="93" operator="equal">
      <formula>#REF!</formula>
    </cfRule>
    <cfRule type="cellIs" dxfId="613" priority="94" operator="equal">
      <formula>#REF!</formula>
    </cfRule>
    <cfRule type="cellIs" dxfId="612" priority="95" operator="equal">
      <formula>#REF!</formula>
    </cfRule>
    <cfRule type="cellIs" dxfId="611" priority="96" operator="equal">
      <formula>#REF!</formula>
    </cfRule>
  </conditionalFormatting>
  <conditionalFormatting sqref="C31 C33">
    <cfRule type="cellIs" dxfId="610" priority="1749" operator="equal">
      <formula>#REF!</formula>
    </cfRule>
    <cfRule type="cellIs" dxfId="609" priority="1750" operator="equal">
      <formula>#REF!</formula>
    </cfRule>
    <cfRule type="cellIs" dxfId="608" priority="1759" operator="equal">
      <formula>#REF!</formula>
    </cfRule>
    <cfRule type="cellIs" dxfId="607" priority="1762" operator="equal">
      <formula>#REF!</formula>
    </cfRule>
  </conditionalFormatting>
  <conditionalFormatting sqref="C38">
    <cfRule type="cellIs" dxfId="606" priority="1673" operator="equal">
      <formula>#REF!</formula>
    </cfRule>
    <cfRule type="cellIs" dxfId="605" priority="1674" operator="equal">
      <formula>#REF!</formula>
    </cfRule>
    <cfRule type="cellIs" dxfId="604" priority="1683" operator="equal">
      <formula>#REF!</formula>
    </cfRule>
    <cfRule type="cellIs" dxfId="603" priority="1686" operator="equal">
      <formula>#REF!</formula>
    </cfRule>
  </conditionalFormatting>
  <conditionalFormatting sqref="C41">
    <cfRule type="cellIs" dxfId="602" priority="1579" operator="equal">
      <formula>#REF!</formula>
    </cfRule>
    <cfRule type="cellIs" dxfId="601" priority="1580" operator="equal">
      <formula>#REF!</formula>
    </cfRule>
    <cfRule type="cellIs" dxfId="600" priority="1589" operator="equal">
      <formula>#REF!</formula>
    </cfRule>
    <cfRule type="cellIs" dxfId="599" priority="1592" operator="equal">
      <formula>#REF!</formula>
    </cfRule>
  </conditionalFormatting>
  <conditionalFormatting sqref="C43">
    <cfRule type="cellIs" dxfId="598" priority="1626" operator="equal">
      <formula>#REF!</formula>
    </cfRule>
    <cfRule type="cellIs" dxfId="597" priority="1627" operator="equal">
      <formula>#REF!</formula>
    </cfRule>
    <cfRule type="cellIs" dxfId="596" priority="1636" operator="equal">
      <formula>#REF!</formula>
    </cfRule>
    <cfRule type="cellIs" dxfId="595" priority="1639" operator="equal">
      <formula>#REF!</formula>
    </cfRule>
  </conditionalFormatting>
  <conditionalFormatting sqref="C45">
    <cfRule type="cellIs" dxfId="594" priority="1532" operator="equal">
      <formula>#REF!</formula>
    </cfRule>
    <cfRule type="cellIs" dxfId="593" priority="1533" operator="equal">
      <formula>#REF!</formula>
    </cfRule>
    <cfRule type="cellIs" dxfId="592" priority="1542" operator="equal">
      <formula>#REF!</formula>
    </cfRule>
    <cfRule type="cellIs" dxfId="591" priority="1545" operator="equal">
      <formula>#REF!</formula>
    </cfRule>
  </conditionalFormatting>
  <conditionalFormatting sqref="C49:C51">
    <cfRule type="cellIs" dxfId="590" priority="25" operator="equal">
      <formula>#REF!</formula>
    </cfRule>
    <cfRule type="cellIs" dxfId="589" priority="26" operator="equal">
      <formula>#REF!</formula>
    </cfRule>
    <cfRule type="cellIs" dxfId="588" priority="27" operator="equal">
      <formula>#REF!</formula>
    </cfRule>
    <cfRule type="cellIs" dxfId="587" priority="28" operator="equal">
      <formula>#REF!</formula>
    </cfRule>
  </conditionalFormatting>
  <conditionalFormatting sqref="C54">
    <cfRule type="cellIs" dxfId="586" priority="43" operator="equal">
      <formula>#REF!</formula>
    </cfRule>
    <cfRule type="cellIs" dxfId="585" priority="44" operator="equal">
      <formula>#REF!</formula>
    </cfRule>
    <cfRule type="cellIs" dxfId="584" priority="45" operator="equal">
      <formula>#REF!</formula>
    </cfRule>
    <cfRule type="cellIs" dxfId="583" priority="46" operator="equal">
      <formula>#REF!</formula>
    </cfRule>
  </conditionalFormatting>
  <conditionalFormatting sqref="C57">
    <cfRule type="cellIs" dxfId="582" priority="61" operator="equal">
      <formula>#REF!</formula>
    </cfRule>
    <cfRule type="cellIs" dxfId="581" priority="62" operator="equal">
      <formula>#REF!</formula>
    </cfRule>
    <cfRule type="cellIs" dxfId="580" priority="63" operator="equal">
      <formula>#REF!</formula>
    </cfRule>
    <cfRule type="cellIs" dxfId="579" priority="64" operator="equal">
      <formula>#REF!</formula>
    </cfRule>
  </conditionalFormatting>
  <conditionalFormatting sqref="C59">
    <cfRule type="cellIs" dxfId="578" priority="335" operator="equal">
      <formula>#REF!</formula>
    </cfRule>
    <cfRule type="cellIs" dxfId="577" priority="336" operator="equal">
      <formula>#REF!</formula>
    </cfRule>
    <cfRule type="cellIs" dxfId="576" priority="337" operator="equal">
      <formula>#REF!</formula>
    </cfRule>
    <cfRule type="cellIs" dxfId="575" priority="338" operator="equal">
      <formula>#REF!</formula>
    </cfRule>
  </conditionalFormatting>
  <conditionalFormatting sqref="C61:C62">
    <cfRule type="cellIs" dxfId="574" priority="353" operator="equal">
      <formula>#REF!</formula>
    </cfRule>
    <cfRule type="cellIs" dxfId="573" priority="354" operator="equal">
      <formula>#REF!</formula>
    </cfRule>
    <cfRule type="cellIs" dxfId="572" priority="355" operator="equal">
      <formula>#REF!</formula>
    </cfRule>
    <cfRule type="cellIs" dxfId="571" priority="356" operator="equal">
      <formula>#REF!</formula>
    </cfRule>
  </conditionalFormatting>
  <conditionalFormatting sqref="C64">
    <cfRule type="cellIs" dxfId="570" priority="1123" operator="equal">
      <formula>#REF!</formula>
    </cfRule>
    <cfRule type="cellIs" dxfId="569" priority="1124" operator="equal">
      <formula>#REF!</formula>
    </cfRule>
    <cfRule type="cellIs" dxfId="568" priority="1133" operator="equal">
      <formula>#REF!</formula>
    </cfRule>
    <cfRule type="cellIs" dxfId="567" priority="1136" operator="equal">
      <formula>#REF!</formula>
    </cfRule>
  </conditionalFormatting>
  <conditionalFormatting sqref="C66">
    <cfRule type="cellIs" dxfId="566" priority="245" operator="equal">
      <formula>#REF!</formula>
    </cfRule>
    <cfRule type="cellIs" dxfId="565" priority="246" operator="equal">
      <formula>#REF!</formula>
    </cfRule>
    <cfRule type="cellIs" dxfId="564" priority="247" operator="equal">
      <formula>#REF!</formula>
    </cfRule>
    <cfRule type="cellIs" dxfId="563" priority="248" operator="equal">
      <formula>#REF!</formula>
    </cfRule>
  </conditionalFormatting>
  <conditionalFormatting sqref="C68:C69">
    <cfRule type="cellIs" dxfId="562" priority="2060" operator="equal">
      <formula>#REF!</formula>
    </cfRule>
    <cfRule type="cellIs" dxfId="561" priority="2061" operator="equal">
      <formula>#REF!</formula>
    </cfRule>
    <cfRule type="cellIs" dxfId="560" priority="2070" operator="equal">
      <formula>#REF!</formula>
    </cfRule>
    <cfRule type="cellIs" dxfId="559" priority="2073" operator="equal">
      <formula>#REF!</formula>
    </cfRule>
  </conditionalFormatting>
  <conditionalFormatting sqref="C100">
    <cfRule type="cellIs" dxfId="558" priority="2194" operator="equal">
      <formula>#REF!</formula>
    </cfRule>
    <cfRule type="cellIs" dxfId="557" priority="2195" operator="equal">
      <formula>#REF!</formula>
    </cfRule>
    <cfRule type="cellIs" dxfId="556" priority="2204" operator="equal">
      <formula>#REF!</formula>
    </cfRule>
    <cfRule type="cellIs" dxfId="555" priority="2207" operator="equal">
      <formula>#REF!</formula>
    </cfRule>
  </conditionalFormatting>
  <conditionalFormatting sqref="C72">
    <cfRule type="cellIs" dxfId="554" priority="935" operator="equal">
      <formula>#REF!</formula>
    </cfRule>
    <cfRule type="cellIs" dxfId="553" priority="936" operator="equal">
      <formula>#REF!</formula>
    </cfRule>
    <cfRule type="cellIs" dxfId="552" priority="945" operator="equal">
      <formula>#REF!</formula>
    </cfRule>
    <cfRule type="cellIs" dxfId="551" priority="948" operator="equal">
      <formula>#REF!</formula>
    </cfRule>
  </conditionalFormatting>
  <conditionalFormatting sqref="C75:C76">
    <cfRule type="cellIs" dxfId="550" priority="747" operator="equal">
      <formula>#REF!</formula>
    </cfRule>
    <cfRule type="cellIs" dxfId="549" priority="748" operator="equal">
      <formula>#REF!</formula>
    </cfRule>
    <cfRule type="cellIs" dxfId="548" priority="757" operator="equal">
      <formula>#REF!</formula>
    </cfRule>
    <cfRule type="cellIs" dxfId="547" priority="760" operator="equal">
      <formula>#REF!</formula>
    </cfRule>
  </conditionalFormatting>
  <conditionalFormatting sqref="C81:C85">
    <cfRule type="cellIs" dxfId="546" priority="227" operator="equal">
      <formula>#REF!</formula>
    </cfRule>
    <cfRule type="cellIs" dxfId="545" priority="228" operator="equal">
      <formula>#REF!</formula>
    </cfRule>
    <cfRule type="cellIs" dxfId="544" priority="229" operator="equal">
      <formula>#REF!</formula>
    </cfRule>
    <cfRule type="cellIs" dxfId="543" priority="230" operator="equal">
      <formula>#REF!</formula>
    </cfRule>
  </conditionalFormatting>
  <conditionalFormatting sqref="C91:C92">
    <cfRule type="cellIs" dxfId="542" priority="209" operator="equal">
      <formula>#REF!</formula>
    </cfRule>
    <cfRule type="cellIs" dxfId="541" priority="210" operator="equal">
      <formula>#REF!</formula>
    </cfRule>
    <cfRule type="cellIs" dxfId="540" priority="211" operator="equal">
      <formula>#REF!</formula>
    </cfRule>
    <cfRule type="cellIs" dxfId="539" priority="212" operator="equal">
      <formula>#REF!</formula>
    </cfRule>
  </conditionalFormatting>
  <conditionalFormatting sqref="C94">
    <cfRule type="cellIs" dxfId="538" priority="1810" operator="equal">
      <formula>#REF!</formula>
    </cfRule>
    <cfRule type="cellIs" dxfId="537" priority="1811" operator="equal">
      <formula>#REF!</formula>
    </cfRule>
    <cfRule type="cellIs" dxfId="536" priority="1820" operator="equal">
      <formula>#REF!</formula>
    </cfRule>
    <cfRule type="cellIs" dxfId="535" priority="1823" operator="equal">
      <formula>#REF!</formula>
    </cfRule>
  </conditionalFormatting>
  <conditionalFormatting sqref="C97:C98">
    <cfRule type="cellIs" dxfId="534" priority="263" operator="equal">
      <formula>#REF!</formula>
    </cfRule>
    <cfRule type="cellIs" dxfId="533" priority="264" operator="equal">
      <formula>#REF!</formula>
    </cfRule>
    <cfRule type="cellIs" dxfId="532" priority="265" operator="equal">
      <formula>#REF!</formula>
    </cfRule>
    <cfRule type="cellIs" dxfId="531" priority="266" operator="equal">
      <formula>#REF!</formula>
    </cfRule>
  </conditionalFormatting>
  <conditionalFormatting sqref="L11 AD7:AD51 AD53:AD85">
    <cfRule type="cellIs" dxfId="530" priority="554" operator="equal">
      <formula>"Muy Alta"</formula>
    </cfRule>
    <cfRule type="cellIs" dxfId="529" priority="555" operator="equal">
      <formula>"Alta"</formula>
    </cfRule>
    <cfRule type="cellIs" dxfId="528" priority="556" operator="equal">
      <formula>"Media"</formula>
    </cfRule>
    <cfRule type="cellIs" dxfId="527" priority="557" operator="equal">
      <formula>"Baja"</formula>
    </cfRule>
    <cfRule type="cellIs" dxfId="526" priority="558" operator="equal">
      <formula>"Muy Baja"</formula>
    </cfRule>
  </conditionalFormatting>
  <conditionalFormatting sqref="L14">
    <cfRule type="cellIs" dxfId="525" priority="695" operator="equal">
      <formula>"Muy Alta"</formula>
    </cfRule>
    <cfRule type="cellIs" dxfId="524" priority="696" operator="equal">
      <formula>"Alta"</formula>
    </cfRule>
    <cfRule type="cellIs" dxfId="523" priority="697" operator="equal">
      <formula>"Media"</formula>
    </cfRule>
    <cfRule type="cellIs" dxfId="522" priority="698" operator="equal">
      <formula>"Baja"</formula>
    </cfRule>
    <cfRule type="cellIs" dxfId="521" priority="699" operator="equal">
      <formula>"Muy Baja"</formula>
    </cfRule>
  </conditionalFormatting>
  <conditionalFormatting sqref="L17">
    <cfRule type="cellIs" dxfId="520" priority="106" operator="equal">
      <formula>"Muy Alta"</formula>
    </cfRule>
    <cfRule type="cellIs" dxfId="519" priority="107" operator="equal">
      <formula>"Alta"</formula>
    </cfRule>
    <cfRule type="cellIs" dxfId="518" priority="108" operator="equal">
      <formula>"Media"</formula>
    </cfRule>
    <cfRule type="cellIs" dxfId="517" priority="109" operator="equal">
      <formula>"Baja"</formula>
    </cfRule>
    <cfRule type="cellIs" dxfId="516" priority="110" operator="equal">
      <formula>"Muy Baja"</formula>
    </cfRule>
  </conditionalFormatting>
  <conditionalFormatting sqref="L21">
    <cfRule type="cellIs" dxfId="515" priority="176" operator="equal">
      <formula>"Muy Alta"</formula>
    </cfRule>
    <cfRule type="cellIs" dxfId="514" priority="177" operator="equal">
      <formula>"Alta"</formula>
    </cfRule>
    <cfRule type="cellIs" dxfId="513" priority="178" operator="equal">
      <formula>"Media"</formula>
    </cfRule>
    <cfRule type="cellIs" dxfId="512" priority="179" operator="equal">
      <formula>"Baja"</formula>
    </cfRule>
    <cfRule type="cellIs" dxfId="511" priority="180" operator="equal">
      <formula>"Muy Baja"</formula>
    </cfRule>
  </conditionalFormatting>
  <conditionalFormatting sqref="L23">
    <cfRule type="cellIs" dxfId="510" priority="190" operator="equal">
      <formula>"Muy Alta"</formula>
    </cfRule>
    <cfRule type="cellIs" dxfId="509" priority="191" operator="equal">
      <formula>"Alta"</formula>
    </cfRule>
    <cfRule type="cellIs" dxfId="508" priority="192" operator="equal">
      <formula>"Media"</formula>
    </cfRule>
    <cfRule type="cellIs" dxfId="507" priority="193" operator="equal">
      <formula>"Baja"</formula>
    </cfRule>
    <cfRule type="cellIs" dxfId="506" priority="194" operator="equal">
      <formula>"Muy Baja"</formula>
    </cfRule>
  </conditionalFormatting>
  <conditionalFormatting sqref="L25:L29">
    <cfRule type="cellIs" dxfId="505" priority="120" operator="equal">
      <formula>"Muy Alta"</formula>
    </cfRule>
    <cfRule type="cellIs" dxfId="504" priority="121" operator="equal">
      <formula>"Alta"</formula>
    </cfRule>
    <cfRule type="cellIs" dxfId="503" priority="122" operator="equal">
      <formula>"Media"</formula>
    </cfRule>
    <cfRule type="cellIs" dxfId="502" priority="123" operator="equal">
      <formula>"Baja"</formula>
    </cfRule>
    <cfRule type="cellIs" dxfId="501" priority="124" operator="equal">
      <formula>"Muy Baja"</formula>
    </cfRule>
  </conditionalFormatting>
  <conditionalFormatting sqref="L31">
    <cfRule type="cellIs" dxfId="500" priority="1776" operator="equal">
      <formula>"Muy Alta"</formula>
    </cfRule>
    <cfRule type="cellIs" dxfId="499" priority="1777" operator="equal">
      <formula>"Alta"</formula>
    </cfRule>
    <cfRule type="cellIs" dxfId="498" priority="1778" operator="equal">
      <formula>"Media"</formula>
    </cfRule>
    <cfRule type="cellIs" dxfId="497" priority="1779" operator="equal">
      <formula>"Baja"</formula>
    </cfRule>
    <cfRule type="cellIs" dxfId="496" priority="1780" operator="equal">
      <formula>"Muy Baja"</formula>
    </cfRule>
  </conditionalFormatting>
  <conditionalFormatting sqref="L33">
    <cfRule type="cellIs" dxfId="495" priority="1744" operator="equal">
      <formula>"Muy Alta"</formula>
    </cfRule>
    <cfRule type="cellIs" dxfId="494" priority="1745" operator="equal">
      <formula>"Alta"</formula>
    </cfRule>
    <cfRule type="cellIs" dxfId="493" priority="1746" operator="equal">
      <formula>"Media"</formula>
    </cfRule>
    <cfRule type="cellIs" dxfId="492" priority="1747" operator="equal">
      <formula>"Baja"</formula>
    </cfRule>
    <cfRule type="cellIs" dxfId="491" priority="1748" operator="equal">
      <formula>"Muy Baja"</formula>
    </cfRule>
  </conditionalFormatting>
  <conditionalFormatting sqref="L38">
    <cfRule type="cellIs" dxfId="490" priority="1715" operator="equal">
      <formula>"Muy Alta"</formula>
    </cfRule>
    <cfRule type="cellIs" dxfId="489" priority="1716" operator="equal">
      <formula>"Alta"</formula>
    </cfRule>
    <cfRule type="cellIs" dxfId="488" priority="1717" operator="equal">
      <formula>"Media"</formula>
    </cfRule>
    <cfRule type="cellIs" dxfId="487" priority="1718" operator="equal">
      <formula>"Baja"</formula>
    </cfRule>
    <cfRule type="cellIs" dxfId="486" priority="1719" operator="equal">
      <formula>"Muy Baja"</formula>
    </cfRule>
  </conditionalFormatting>
  <conditionalFormatting sqref="L41">
    <cfRule type="cellIs" dxfId="485" priority="1621" operator="equal">
      <formula>"Muy Alta"</formula>
    </cfRule>
    <cfRule type="cellIs" dxfId="484" priority="1622" operator="equal">
      <formula>"Alta"</formula>
    </cfRule>
    <cfRule type="cellIs" dxfId="483" priority="1623" operator="equal">
      <formula>"Media"</formula>
    </cfRule>
    <cfRule type="cellIs" dxfId="482" priority="1624" operator="equal">
      <formula>"Baja"</formula>
    </cfRule>
    <cfRule type="cellIs" dxfId="481" priority="1625" operator="equal">
      <formula>"Muy Baja"</formula>
    </cfRule>
  </conditionalFormatting>
  <conditionalFormatting sqref="L43">
    <cfRule type="cellIs" dxfId="480" priority="1668" operator="equal">
      <formula>"Muy Alta"</formula>
    </cfRule>
    <cfRule type="cellIs" dxfId="479" priority="1669" operator="equal">
      <formula>"Alta"</formula>
    </cfRule>
    <cfRule type="cellIs" dxfId="478" priority="1670" operator="equal">
      <formula>"Media"</formula>
    </cfRule>
    <cfRule type="cellIs" dxfId="477" priority="1671" operator="equal">
      <formula>"Baja"</formula>
    </cfRule>
    <cfRule type="cellIs" dxfId="476" priority="1672" operator="equal">
      <formula>"Muy Baja"</formula>
    </cfRule>
  </conditionalFormatting>
  <conditionalFormatting sqref="L45">
    <cfRule type="cellIs" dxfId="475" priority="1574" operator="equal">
      <formula>"Muy Alta"</formula>
    </cfRule>
    <cfRule type="cellIs" dxfId="474" priority="1575" operator="equal">
      <formula>"Alta"</formula>
    </cfRule>
    <cfRule type="cellIs" dxfId="473" priority="1576" operator="equal">
      <formula>"Media"</formula>
    </cfRule>
    <cfRule type="cellIs" dxfId="472" priority="1577" operator="equal">
      <formula>"Baja"</formula>
    </cfRule>
    <cfRule type="cellIs" dxfId="471" priority="1578" operator="equal">
      <formula>"Muy Baja"</formula>
    </cfRule>
  </conditionalFormatting>
  <conditionalFormatting sqref="L49:L51">
    <cfRule type="cellIs" dxfId="470" priority="38" operator="equal">
      <formula>"Muy Alta"</formula>
    </cfRule>
    <cfRule type="cellIs" dxfId="469" priority="39" operator="equal">
      <formula>"Alta"</formula>
    </cfRule>
    <cfRule type="cellIs" dxfId="468" priority="40" operator="equal">
      <formula>"Media"</formula>
    </cfRule>
    <cfRule type="cellIs" dxfId="467" priority="41" operator="equal">
      <formula>"Baja"</formula>
    </cfRule>
    <cfRule type="cellIs" dxfId="466" priority="42" operator="equal">
      <formula>"Muy Baja"</formula>
    </cfRule>
  </conditionalFormatting>
  <conditionalFormatting sqref="L54">
    <cfRule type="cellIs" dxfId="465" priority="56" operator="equal">
      <formula>"Muy Alta"</formula>
    </cfRule>
    <cfRule type="cellIs" dxfId="464" priority="57" operator="equal">
      <formula>"Alta"</formula>
    </cfRule>
    <cfRule type="cellIs" dxfId="463" priority="58" operator="equal">
      <formula>"Media"</formula>
    </cfRule>
    <cfRule type="cellIs" dxfId="462" priority="59" operator="equal">
      <formula>"Baja"</formula>
    </cfRule>
    <cfRule type="cellIs" dxfId="461" priority="60" operator="equal">
      <formula>"Muy Baja"</formula>
    </cfRule>
  </conditionalFormatting>
  <conditionalFormatting sqref="L57">
    <cfRule type="cellIs" dxfId="460" priority="74" operator="equal">
      <formula>"Muy Alta"</formula>
    </cfRule>
    <cfRule type="cellIs" dxfId="459" priority="75" operator="equal">
      <formula>"Alta"</formula>
    </cfRule>
    <cfRule type="cellIs" dxfId="458" priority="76" operator="equal">
      <formula>"Media"</formula>
    </cfRule>
    <cfRule type="cellIs" dxfId="457" priority="77" operator="equal">
      <formula>"Baja"</formula>
    </cfRule>
    <cfRule type="cellIs" dxfId="456" priority="78" operator="equal">
      <formula>"Muy Baja"</formula>
    </cfRule>
  </conditionalFormatting>
  <conditionalFormatting sqref="L59">
    <cfRule type="cellIs" dxfId="455" priority="348" operator="equal">
      <formula>"Muy Alta"</formula>
    </cfRule>
    <cfRule type="cellIs" dxfId="454" priority="349" operator="equal">
      <formula>"Alta"</formula>
    </cfRule>
    <cfRule type="cellIs" dxfId="453" priority="350" operator="equal">
      <formula>"Media"</formula>
    </cfRule>
    <cfRule type="cellIs" dxfId="452" priority="351" operator="equal">
      <formula>"Baja"</formula>
    </cfRule>
    <cfRule type="cellIs" dxfId="451" priority="352" operator="equal">
      <formula>"Muy Baja"</formula>
    </cfRule>
  </conditionalFormatting>
  <conditionalFormatting sqref="L61:L62">
    <cfRule type="cellIs" dxfId="450" priority="366" operator="equal">
      <formula>"Muy Alta"</formula>
    </cfRule>
    <cfRule type="cellIs" dxfId="449" priority="367" operator="equal">
      <formula>"Alta"</formula>
    </cfRule>
    <cfRule type="cellIs" dxfId="448" priority="368" operator="equal">
      <formula>"Media"</formula>
    </cfRule>
    <cfRule type="cellIs" dxfId="447" priority="369" operator="equal">
      <formula>"Baja"</formula>
    </cfRule>
    <cfRule type="cellIs" dxfId="446" priority="370" operator="equal">
      <formula>"Muy Baja"</formula>
    </cfRule>
  </conditionalFormatting>
  <conditionalFormatting sqref="L64">
    <cfRule type="cellIs" dxfId="445" priority="1165" operator="equal">
      <formula>"Muy Alta"</formula>
    </cfRule>
    <cfRule type="cellIs" dxfId="444" priority="1166" operator="equal">
      <formula>"Alta"</formula>
    </cfRule>
    <cfRule type="cellIs" dxfId="443" priority="1167" operator="equal">
      <formula>"Media"</formula>
    </cfRule>
    <cfRule type="cellIs" dxfId="442" priority="1168" operator="equal">
      <formula>"Baja"</formula>
    </cfRule>
    <cfRule type="cellIs" dxfId="441" priority="1169" operator="equal">
      <formula>"Muy Baja"</formula>
    </cfRule>
  </conditionalFormatting>
  <conditionalFormatting sqref="L66">
    <cfRule type="cellIs" dxfId="440" priority="258" operator="equal">
      <formula>"Muy Alta"</formula>
    </cfRule>
    <cfRule type="cellIs" dxfId="439" priority="259" operator="equal">
      <formula>"Alta"</formula>
    </cfRule>
    <cfRule type="cellIs" dxfId="438" priority="260" operator="equal">
      <formula>"Media"</formula>
    </cfRule>
    <cfRule type="cellIs" dxfId="437" priority="261" operator="equal">
      <formula>"Baja"</formula>
    </cfRule>
    <cfRule type="cellIs" dxfId="436" priority="262" operator="equal">
      <formula>"Muy Baja"</formula>
    </cfRule>
  </conditionalFormatting>
  <conditionalFormatting sqref="L68:L69">
    <cfRule type="cellIs" dxfId="435" priority="2102" operator="equal">
      <formula>"Muy Alta"</formula>
    </cfRule>
    <cfRule type="cellIs" dxfId="434" priority="2103" operator="equal">
      <formula>"Alta"</formula>
    </cfRule>
    <cfRule type="cellIs" dxfId="433" priority="2104" operator="equal">
      <formula>"Media"</formula>
    </cfRule>
    <cfRule type="cellIs" dxfId="432" priority="2105" operator="equal">
      <formula>"Baja"</formula>
    </cfRule>
    <cfRule type="cellIs" dxfId="431" priority="2106" operator="equal">
      <formula>"Muy Baja"</formula>
    </cfRule>
  </conditionalFormatting>
  <conditionalFormatting sqref="L72">
    <cfRule type="cellIs" dxfId="430" priority="977" operator="equal">
      <formula>"Muy Alta"</formula>
    </cfRule>
    <cfRule type="cellIs" dxfId="429" priority="978" operator="equal">
      <formula>"Alta"</formula>
    </cfRule>
    <cfRule type="cellIs" dxfId="428" priority="979" operator="equal">
      <formula>"Media"</formula>
    </cfRule>
    <cfRule type="cellIs" dxfId="427" priority="980" operator="equal">
      <formula>"Baja"</formula>
    </cfRule>
    <cfRule type="cellIs" dxfId="426" priority="981" operator="equal">
      <formula>"Muy Baja"</formula>
    </cfRule>
  </conditionalFormatting>
  <conditionalFormatting sqref="L75:L76">
    <cfRule type="cellIs" dxfId="425" priority="789" operator="equal">
      <formula>"Muy Alta"</formula>
    </cfRule>
    <cfRule type="cellIs" dxfId="424" priority="790" operator="equal">
      <formula>"Alta"</formula>
    </cfRule>
    <cfRule type="cellIs" dxfId="423" priority="791" operator="equal">
      <formula>"Media"</formula>
    </cfRule>
    <cfRule type="cellIs" dxfId="422" priority="792" operator="equal">
      <formula>"Baja"</formula>
    </cfRule>
    <cfRule type="cellIs" dxfId="421" priority="793" operator="equal">
      <formula>"Muy Baja"</formula>
    </cfRule>
  </conditionalFormatting>
  <conditionalFormatting sqref="L81:L85">
    <cfRule type="cellIs" dxfId="420" priority="240" operator="equal">
      <formula>"Muy Alta"</formula>
    </cfRule>
    <cfRule type="cellIs" dxfId="419" priority="241" operator="equal">
      <formula>"Alta"</formula>
    </cfRule>
    <cfRule type="cellIs" dxfId="418" priority="242" operator="equal">
      <formula>"Media"</formula>
    </cfRule>
    <cfRule type="cellIs" dxfId="417" priority="243" operator="equal">
      <formula>"Baja"</formula>
    </cfRule>
    <cfRule type="cellIs" dxfId="416" priority="244" operator="equal">
      <formula>"Muy Baja"</formula>
    </cfRule>
  </conditionalFormatting>
  <conditionalFormatting sqref="L91:L92">
    <cfRule type="cellIs" dxfId="415" priority="222" operator="equal">
      <formula>"Muy Alta"</formula>
    </cfRule>
    <cfRule type="cellIs" dxfId="414" priority="223" operator="equal">
      <formula>"Alta"</formula>
    </cfRule>
    <cfRule type="cellIs" dxfId="413" priority="224" operator="equal">
      <formula>"Media"</formula>
    </cfRule>
    <cfRule type="cellIs" dxfId="412" priority="225" operator="equal">
      <formula>"Baja"</formula>
    </cfRule>
    <cfRule type="cellIs" dxfId="411" priority="226" operator="equal">
      <formula>"Muy Baja"</formula>
    </cfRule>
  </conditionalFormatting>
  <conditionalFormatting sqref="L94">
    <cfRule type="cellIs" dxfId="410" priority="1852" operator="equal">
      <formula>"Muy Alta"</formula>
    </cfRule>
    <cfRule type="cellIs" dxfId="409" priority="1853" operator="equal">
      <formula>"Alta"</formula>
    </cfRule>
    <cfRule type="cellIs" dxfId="408" priority="1854" operator="equal">
      <formula>"Media"</formula>
    </cfRule>
    <cfRule type="cellIs" dxfId="407" priority="1855" operator="equal">
      <formula>"Baja"</formula>
    </cfRule>
    <cfRule type="cellIs" dxfId="406" priority="1856" operator="equal">
      <formula>"Muy Baja"</formula>
    </cfRule>
  </conditionalFormatting>
  <conditionalFormatting sqref="L97:L98">
    <cfRule type="cellIs" dxfId="405" priority="276" operator="equal">
      <formula>"Muy Alta"</formula>
    </cfRule>
    <cfRule type="cellIs" dxfId="404" priority="277" operator="equal">
      <formula>"Alta"</formula>
    </cfRule>
    <cfRule type="cellIs" dxfId="403" priority="278" operator="equal">
      <formula>"Media"</formula>
    </cfRule>
    <cfRule type="cellIs" dxfId="402" priority="279" operator="equal">
      <formula>"Baja"</formula>
    </cfRule>
    <cfRule type="cellIs" dxfId="401" priority="280" operator="equal">
      <formula>"Muy Baja"</formula>
    </cfRule>
  </conditionalFormatting>
  <conditionalFormatting sqref="O91:O100 O11:O85">
    <cfRule type="containsText" dxfId="400" priority="24" operator="containsText" text="❌">
      <formula>NOT(ISERROR(SEARCH("❌",O11)))</formula>
    </cfRule>
  </conditionalFormatting>
  <conditionalFormatting sqref="P11 AF7:AF100">
    <cfRule type="cellIs" dxfId="399" priority="549" operator="equal">
      <formula>"Catastrófico"</formula>
    </cfRule>
    <cfRule type="cellIs" dxfId="398" priority="550" operator="equal">
      <formula>"Mayor"</formula>
    </cfRule>
    <cfRule type="cellIs" dxfId="397" priority="551" operator="equal">
      <formula>"Moderado"</formula>
    </cfRule>
    <cfRule type="cellIs" dxfId="396" priority="552" operator="equal">
      <formula>"Menor"</formula>
    </cfRule>
    <cfRule type="cellIs" dxfId="395" priority="553" operator="equal">
      <formula>"Leve"</formula>
    </cfRule>
  </conditionalFormatting>
  <conditionalFormatting sqref="P14">
    <cfRule type="cellIs" dxfId="394" priority="690" operator="equal">
      <formula>"Catastrófico"</formula>
    </cfRule>
    <cfRule type="cellIs" dxfId="393" priority="691" operator="equal">
      <formula>"Mayor"</formula>
    </cfRule>
    <cfRule type="cellIs" dxfId="392" priority="692" operator="equal">
      <formula>"Moderado"</formula>
    </cfRule>
    <cfRule type="cellIs" dxfId="391" priority="693" operator="equal">
      <formula>"Menor"</formula>
    </cfRule>
    <cfRule type="cellIs" dxfId="390" priority="694" operator="equal">
      <formula>"Leve"</formula>
    </cfRule>
  </conditionalFormatting>
  <conditionalFormatting sqref="P17">
    <cfRule type="cellIs" dxfId="389" priority="101" operator="equal">
      <formula>"Catastrófico"</formula>
    </cfRule>
    <cfRule type="cellIs" dxfId="388" priority="102" operator="equal">
      <formula>"Mayor"</formula>
    </cfRule>
    <cfRule type="cellIs" dxfId="387" priority="103" operator="equal">
      <formula>"Moderado"</formula>
    </cfRule>
    <cfRule type="cellIs" dxfId="386" priority="104" operator="equal">
      <formula>"Menor"</formula>
    </cfRule>
    <cfRule type="cellIs" dxfId="385" priority="105" operator="equal">
      <formula>"Leve"</formula>
    </cfRule>
  </conditionalFormatting>
  <conditionalFormatting sqref="P21">
    <cfRule type="cellIs" dxfId="384" priority="171" operator="equal">
      <formula>"Catastrófico"</formula>
    </cfRule>
    <cfRule type="cellIs" dxfId="383" priority="172" operator="equal">
      <formula>"Mayor"</formula>
    </cfRule>
    <cfRule type="cellIs" dxfId="382" priority="173" operator="equal">
      <formula>"Moderado"</formula>
    </cfRule>
    <cfRule type="cellIs" dxfId="381" priority="174" operator="equal">
      <formula>"Menor"</formula>
    </cfRule>
    <cfRule type="cellIs" dxfId="380" priority="175" operator="equal">
      <formula>"Leve"</formula>
    </cfRule>
  </conditionalFormatting>
  <conditionalFormatting sqref="P23">
    <cfRule type="cellIs" dxfId="379" priority="185" operator="equal">
      <formula>"Catastrófico"</formula>
    </cfRule>
    <cfRule type="cellIs" dxfId="378" priority="186" operator="equal">
      <formula>"Mayor"</formula>
    </cfRule>
    <cfRule type="cellIs" dxfId="377" priority="187" operator="equal">
      <formula>"Moderado"</formula>
    </cfRule>
    <cfRule type="cellIs" dxfId="376" priority="188" operator="equal">
      <formula>"Menor"</formula>
    </cfRule>
    <cfRule type="cellIs" dxfId="375" priority="189" operator="equal">
      <formula>"Leve"</formula>
    </cfRule>
  </conditionalFormatting>
  <conditionalFormatting sqref="P25:P29">
    <cfRule type="cellIs" dxfId="374" priority="115" operator="equal">
      <formula>"Catastrófico"</formula>
    </cfRule>
    <cfRule type="cellIs" dxfId="373" priority="116" operator="equal">
      <formula>"Mayor"</formula>
    </cfRule>
    <cfRule type="cellIs" dxfId="372" priority="117" operator="equal">
      <formula>"Moderado"</formula>
    </cfRule>
    <cfRule type="cellIs" dxfId="371" priority="118" operator="equal">
      <formula>"Menor"</formula>
    </cfRule>
    <cfRule type="cellIs" dxfId="370" priority="119" operator="equal">
      <formula>"Leve"</formula>
    </cfRule>
  </conditionalFormatting>
  <conditionalFormatting sqref="P31">
    <cfRule type="cellIs" dxfId="369" priority="1771" operator="equal">
      <formula>"Catastrófico"</formula>
    </cfRule>
    <cfRule type="cellIs" dxfId="368" priority="1772" operator="equal">
      <formula>"Mayor"</formula>
    </cfRule>
    <cfRule type="cellIs" dxfId="367" priority="1773" operator="equal">
      <formula>"Moderado"</formula>
    </cfRule>
    <cfRule type="cellIs" dxfId="366" priority="1774" operator="equal">
      <formula>"Menor"</formula>
    </cfRule>
    <cfRule type="cellIs" dxfId="365" priority="1775" operator="equal">
      <formula>"Leve"</formula>
    </cfRule>
  </conditionalFormatting>
  <conditionalFormatting sqref="P33">
    <cfRule type="cellIs" dxfId="364" priority="1739" operator="equal">
      <formula>"Catastrófico"</formula>
    </cfRule>
    <cfRule type="cellIs" dxfId="363" priority="1740" operator="equal">
      <formula>"Mayor"</formula>
    </cfRule>
    <cfRule type="cellIs" dxfId="362" priority="1741" operator="equal">
      <formula>"Moderado"</formula>
    </cfRule>
    <cfRule type="cellIs" dxfId="361" priority="1742" operator="equal">
      <formula>"Menor"</formula>
    </cfRule>
    <cfRule type="cellIs" dxfId="360" priority="1743" operator="equal">
      <formula>"Leve"</formula>
    </cfRule>
  </conditionalFormatting>
  <conditionalFormatting sqref="P38">
    <cfRule type="cellIs" dxfId="359" priority="1710" operator="equal">
      <formula>"Catastrófico"</formula>
    </cfRule>
    <cfRule type="cellIs" dxfId="358" priority="1711" operator="equal">
      <formula>"Mayor"</formula>
    </cfRule>
    <cfRule type="cellIs" dxfId="357" priority="1712" operator="equal">
      <formula>"Moderado"</formula>
    </cfRule>
    <cfRule type="cellIs" dxfId="356" priority="1713" operator="equal">
      <formula>"Menor"</formula>
    </cfRule>
    <cfRule type="cellIs" dxfId="355" priority="1714" operator="equal">
      <formula>"Leve"</formula>
    </cfRule>
  </conditionalFormatting>
  <conditionalFormatting sqref="P41">
    <cfRule type="cellIs" dxfId="354" priority="1616" operator="equal">
      <formula>"Catastrófico"</formula>
    </cfRule>
    <cfRule type="cellIs" dxfId="353" priority="1617" operator="equal">
      <formula>"Mayor"</formula>
    </cfRule>
    <cfRule type="cellIs" dxfId="352" priority="1618" operator="equal">
      <formula>"Moderado"</formula>
    </cfRule>
    <cfRule type="cellIs" dxfId="351" priority="1619" operator="equal">
      <formula>"Menor"</formula>
    </cfRule>
    <cfRule type="cellIs" dxfId="350" priority="1620" operator="equal">
      <formula>"Leve"</formula>
    </cfRule>
  </conditionalFormatting>
  <conditionalFormatting sqref="P43">
    <cfRule type="cellIs" dxfId="349" priority="1663" operator="equal">
      <formula>"Catastrófico"</formula>
    </cfRule>
    <cfRule type="cellIs" dxfId="348" priority="1664" operator="equal">
      <formula>"Mayor"</formula>
    </cfRule>
    <cfRule type="cellIs" dxfId="347" priority="1665" operator="equal">
      <formula>"Moderado"</formula>
    </cfRule>
    <cfRule type="cellIs" dxfId="346" priority="1666" operator="equal">
      <formula>"Menor"</formula>
    </cfRule>
    <cfRule type="cellIs" dxfId="345" priority="1667" operator="equal">
      <formula>"Leve"</formula>
    </cfRule>
  </conditionalFormatting>
  <conditionalFormatting sqref="P45">
    <cfRule type="cellIs" dxfId="344" priority="1569" operator="equal">
      <formula>"Catastrófico"</formula>
    </cfRule>
    <cfRule type="cellIs" dxfId="343" priority="1570" operator="equal">
      <formula>"Mayor"</formula>
    </cfRule>
    <cfRule type="cellIs" dxfId="342" priority="1571" operator="equal">
      <formula>"Moderado"</formula>
    </cfRule>
    <cfRule type="cellIs" dxfId="341" priority="1572" operator="equal">
      <formula>"Menor"</formula>
    </cfRule>
    <cfRule type="cellIs" dxfId="340" priority="1573" operator="equal">
      <formula>"Leve"</formula>
    </cfRule>
  </conditionalFormatting>
  <conditionalFormatting sqref="P49:P51">
    <cfRule type="cellIs" dxfId="339" priority="33" operator="equal">
      <formula>"Catastrófico"</formula>
    </cfRule>
    <cfRule type="cellIs" dxfId="338" priority="34" operator="equal">
      <formula>"Mayor"</formula>
    </cfRule>
    <cfRule type="cellIs" dxfId="337" priority="35" operator="equal">
      <formula>"Moderado"</formula>
    </cfRule>
    <cfRule type="cellIs" dxfId="336" priority="36" operator="equal">
      <formula>"Menor"</formula>
    </cfRule>
    <cfRule type="cellIs" dxfId="335" priority="37" operator="equal">
      <formula>"Leve"</formula>
    </cfRule>
  </conditionalFormatting>
  <conditionalFormatting sqref="P54">
    <cfRule type="cellIs" dxfId="334" priority="51" operator="equal">
      <formula>"Catastrófico"</formula>
    </cfRule>
    <cfRule type="cellIs" dxfId="333" priority="52" operator="equal">
      <formula>"Mayor"</formula>
    </cfRule>
    <cfRule type="cellIs" dxfId="332" priority="53" operator="equal">
      <formula>"Moderado"</formula>
    </cfRule>
    <cfRule type="cellIs" dxfId="331" priority="54" operator="equal">
      <formula>"Menor"</formula>
    </cfRule>
    <cfRule type="cellIs" dxfId="330" priority="55" operator="equal">
      <formula>"Leve"</formula>
    </cfRule>
  </conditionalFormatting>
  <conditionalFormatting sqref="P57">
    <cfRule type="cellIs" dxfId="329" priority="69" operator="equal">
      <formula>"Catastrófico"</formula>
    </cfRule>
    <cfRule type="cellIs" dxfId="328" priority="70" operator="equal">
      <formula>"Mayor"</formula>
    </cfRule>
    <cfRule type="cellIs" dxfId="327" priority="71" operator="equal">
      <formula>"Moderado"</formula>
    </cfRule>
    <cfRule type="cellIs" dxfId="326" priority="72" operator="equal">
      <formula>"Menor"</formula>
    </cfRule>
    <cfRule type="cellIs" dxfId="325" priority="73" operator="equal">
      <formula>"Leve"</formula>
    </cfRule>
  </conditionalFormatting>
  <conditionalFormatting sqref="P59">
    <cfRule type="cellIs" dxfId="324" priority="343" operator="equal">
      <formula>"Catastrófico"</formula>
    </cfRule>
    <cfRule type="cellIs" dxfId="323" priority="344" operator="equal">
      <formula>"Mayor"</formula>
    </cfRule>
    <cfRule type="cellIs" dxfId="322" priority="345" operator="equal">
      <formula>"Moderado"</formula>
    </cfRule>
    <cfRule type="cellIs" dxfId="321" priority="346" operator="equal">
      <formula>"Menor"</formula>
    </cfRule>
    <cfRule type="cellIs" dxfId="320" priority="347" operator="equal">
      <formula>"Leve"</formula>
    </cfRule>
  </conditionalFormatting>
  <conditionalFormatting sqref="P61:P62">
    <cfRule type="cellIs" dxfId="319" priority="361" operator="equal">
      <formula>"Catastrófico"</formula>
    </cfRule>
    <cfRule type="cellIs" dxfId="318" priority="362" operator="equal">
      <formula>"Mayor"</formula>
    </cfRule>
    <cfRule type="cellIs" dxfId="317" priority="363" operator="equal">
      <formula>"Moderado"</formula>
    </cfRule>
    <cfRule type="cellIs" dxfId="316" priority="364" operator="equal">
      <formula>"Menor"</formula>
    </cfRule>
    <cfRule type="cellIs" dxfId="315" priority="365" operator="equal">
      <formula>"Leve"</formula>
    </cfRule>
  </conditionalFormatting>
  <conditionalFormatting sqref="P64">
    <cfRule type="cellIs" dxfId="314" priority="1160" operator="equal">
      <formula>"Catastrófico"</formula>
    </cfRule>
    <cfRule type="cellIs" dxfId="313" priority="1161" operator="equal">
      <formula>"Mayor"</formula>
    </cfRule>
    <cfRule type="cellIs" dxfId="312" priority="1162" operator="equal">
      <formula>"Moderado"</formula>
    </cfRule>
    <cfRule type="cellIs" dxfId="311" priority="1163" operator="equal">
      <formula>"Menor"</formula>
    </cfRule>
    <cfRule type="cellIs" dxfId="310" priority="1164" operator="equal">
      <formula>"Leve"</formula>
    </cfRule>
  </conditionalFormatting>
  <conditionalFormatting sqref="P66">
    <cfRule type="cellIs" dxfId="309" priority="253" operator="equal">
      <formula>"Catastrófico"</formula>
    </cfRule>
    <cfRule type="cellIs" dxfId="308" priority="254" operator="equal">
      <formula>"Mayor"</formula>
    </cfRule>
    <cfRule type="cellIs" dxfId="307" priority="255" operator="equal">
      <formula>"Moderado"</formula>
    </cfRule>
    <cfRule type="cellIs" dxfId="306" priority="256" operator="equal">
      <formula>"Menor"</formula>
    </cfRule>
    <cfRule type="cellIs" dxfId="305" priority="257" operator="equal">
      <formula>"Leve"</formula>
    </cfRule>
  </conditionalFormatting>
  <conditionalFormatting sqref="P68:P69">
    <cfRule type="cellIs" dxfId="304" priority="2097" operator="equal">
      <formula>"Catastrófico"</formula>
    </cfRule>
    <cfRule type="cellIs" dxfId="303" priority="2098" operator="equal">
      <formula>"Mayor"</formula>
    </cfRule>
    <cfRule type="cellIs" dxfId="302" priority="2099" operator="equal">
      <formula>"Moderado"</formula>
    </cfRule>
    <cfRule type="cellIs" dxfId="301" priority="2100" operator="equal">
      <formula>"Menor"</formula>
    </cfRule>
    <cfRule type="cellIs" dxfId="300" priority="2101" operator="equal">
      <formula>"Leve"</formula>
    </cfRule>
  </conditionalFormatting>
  <conditionalFormatting sqref="P72">
    <cfRule type="cellIs" dxfId="299" priority="972" operator="equal">
      <formula>"Catastrófico"</formula>
    </cfRule>
    <cfRule type="cellIs" dxfId="298" priority="973" operator="equal">
      <formula>"Mayor"</formula>
    </cfRule>
    <cfRule type="cellIs" dxfId="297" priority="974" operator="equal">
      <formula>"Moderado"</formula>
    </cfRule>
    <cfRule type="cellIs" dxfId="296" priority="975" operator="equal">
      <formula>"Menor"</formula>
    </cfRule>
    <cfRule type="cellIs" dxfId="295" priority="976" operator="equal">
      <formula>"Leve"</formula>
    </cfRule>
  </conditionalFormatting>
  <conditionalFormatting sqref="P75:P76">
    <cfRule type="cellIs" dxfId="294" priority="784" operator="equal">
      <formula>"Catastrófico"</formula>
    </cfRule>
    <cfRule type="cellIs" dxfId="293" priority="785" operator="equal">
      <formula>"Mayor"</formula>
    </cfRule>
    <cfRule type="cellIs" dxfId="292" priority="786" operator="equal">
      <formula>"Moderado"</formula>
    </cfRule>
    <cfRule type="cellIs" dxfId="291" priority="787" operator="equal">
      <formula>"Menor"</formula>
    </cfRule>
    <cfRule type="cellIs" dxfId="290" priority="788" operator="equal">
      <formula>"Leve"</formula>
    </cfRule>
  </conditionalFormatting>
  <conditionalFormatting sqref="P81:P85">
    <cfRule type="cellIs" dxfId="289" priority="235" operator="equal">
      <formula>"Catastrófico"</formula>
    </cfRule>
    <cfRule type="cellIs" dxfId="288" priority="236" operator="equal">
      <formula>"Mayor"</formula>
    </cfRule>
    <cfRule type="cellIs" dxfId="287" priority="237" operator="equal">
      <formula>"Moderado"</formula>
    </cfRule>
    <cfRule type="cellIs" dxfId="286" priority="238" operator="equal">
      <formula>"Menor"</formula>
    </cfRule>
    <cfRule type="cellIs" dxfId="285" priority="239" operator="equal">
      <formula>"Leve"</formula>
    </cfRule>
  </conditionalFormatting>
  <conditionalFormatting sqref="P91:P92">
    <cfRule type="cellIs" dxfId="284" priority="217" operator="equal">
      <formula>"Catastrófico"</formula>
    </cfRule>
    <cfRule type="cellIs" dxfId="283" priority="218" operator="equal">
      <formula>"Mayor"</formula>
    </cfRule>
    <cfRule type="cellIs" dxfId="282" priority="219" operator="equal">
      <formula>"Moderado"</formula>
    </cfRule>
    <cfRule type="cellIs" dxfId="281" priority="220" operator="equal">
      <formula>"Menor"</formula>
    </cfRule>
    <cfRule type="cellIs" dxfId="280" priority="221" operator="equal">
      <formula>"Leve"</formula>
    </cfRule>
  </conditionalFormatting>
  <conditionalFormatting sqref="P94">
    <cfRule type="cellIs" dxfId="279" priority="1847" operator="equal">
      <formula>"Catastrófico"</formula>
    </cfRule>
    <cfRule type="cellIs" dxfId="278" priority="1848" operator="equal">
      <formula>"Mayor"</formula>
    </cfRule>
    <cfRule type="cellIs" dxfId="277" priority="1849" operator="equal">
      <formula>"Moderado"</formula>
    </cfRule>
    <cfRule type="cellIs" dxfId="276" priority="1850" operator="equal">
      <formula>"Menor"</formula>
    </cfRule>
    <cfRule type="cellIs" dxfId="275" priority="1851" operator="equal">
      <formula>"Leve"</formula>
    </cfRule>
  </conditionalFormatting>
  <conditionalFormatting sqref="P97:P98">
    <cfRule type="cellIs" dxfId="274" priority="271" operator="equal">
      <formula>"Catastrófico"</formula>
    </cfRule>
    <cfRule type="cellIs" dxfId="273" priority="272" operator="equal">
      <formula>"Mayor"</formula>
    </cfRule>
    <cfRule type="cellIs" dxfId="272" priority="273" operator="equal">
      <formula>"Moderado"</formula>
    </cfRule>
    <cfRule type="cellIs" dxfId="271" priority="274" operator="equal">
      <formula>"Menor"</formula>
    </cfRule>
    <cfRule type="cellIs" dxfId="270" priority="275" operator="equal">
      <formula>"Leve"</formula>
    </cfRule>
  </conditionalFormatting>
  <conditionalFormatting sqref="R11 AH7:AH51 AH53:AH100">
    <cfRule type="cellIs" dxfId="269" priority="545" operator="equal">
      <formula>"Extremo"</formula>
    </cfRule>
    <cfRule type="cellIs" dxfId="268" priority="546" operator="equal">
      <formula>"Alto"</formula>
    </cfRule>
    <cfRule type="cellIs" dxfId="267" priority="547" operator="equal">
      <formula>"Moderado"</formula>
    </cfRule>
    <cfRule type="cellIs" dxfId="266" priority="548" operator="equal">
      <formula>"Bajo"</formula>
    </cfRule>
  </conditionalFormatting>
  <conditionalFormatting sqref="R14">
    <cfRule type="cellIs" dxfId="265" priority="686" operator="equal">
      <formula>"Extremo"</formula>
    </cfRule>
    <cfRule type="cellIs" dxfId="264" priority="687" operator="equal">
      <formula>"Alto"</formula>
    </cfRule>
    <cfRule type="cellIs" dxfId="263" priority="688" operator="equal">
      <formula>"Moderado"</formula>
    </cfRule>
    <cfRule type="cellIs" dxfId="262" priority="689" operator="equal">
      <formula>"Bajo"</formula>
    </cfRule>
  </conditionalFormatting>
  <conditionalFormatting sqref="R17">
    <cfRule type="cellIs" dxfId="261" priority="97" operator="equal">
      <formula>"Extremo"</formula>
    </cfRule>
    <cfRule type="cellIs" dxfId="260" priority="98" operator="equal">
      <formula>"Alto"</formula>
    </cfRule>
    <cfRule type="cellIs" dxfId="259" priority="99" operator="equal">
      <formula>"Moderado"</formula>
    </cfRule>
    <cfRule type="cellIs" dxfId="258" priority="100" operator="equal">
      <formula>"Bajo"</formula>
    </cfRule>
  </conditionalFormatting>
  <conditionalFormatting sqref="R21">
    <cfRule type="cellIs" dxfId="257" priority="167" operator="equal">
      <formula>"Extremo"</formula>
    </cfRule>
    <cfRule type="cellIs" dxfId="256" priority="168" operator="equal">
      <formula>"Alto"</formula>
    </cfRule>
    <cfRule type="cellIs" dxfId="255" priority="169" operator="equal">
      <formula>"Moderado"</formula>
    </cfRule>
    <cfRule type="cellIs" dxfId="254" priority="170" operator="equal">
      <formula>"Bajo"</formula>
    </cfRule>
  </conditionalFormatting>
  <conditionalFormatting sqref="R23">
    <cfRule type="cellIs" dxfId="253" priority="181" operator="equal">
      <formula>"Extremo"</formula>
    </cfRule>
    <cfRule type="cellIs" dxfId="252" priority="182" operator="equal">
      <formula>"Alto"</formula>
    </cfRule>
    <cfRule type="cellIs" dxfId="251" priority="183" operator="equal">
      <formula>"Moderado"</formula>
    </cfRule>
    <cfRule type="cellIs" dxfId="250" priority="184" operator="equal">
      <formula>"Bajo"</formula>
    </cfRule>
  </conditionalFormatting>
  <conditionalFormatting sqref="R25:R29">
    <cfRule type="cellIs" dxfId="249" priority="111" operator="equal">
      <formula>"Extremo"</formula>
    </cfRule>
    <cfRule type="cellIs" dxfId="248" priority="112" operator="equal">
      <formula>"Alto"</formula>
    </cfRule>
    <cfRule type="cellIs" dxfId="247" priority="113" operator="equal">
      <formula>"Moderado"</formula>
    </cfRule>
    <cfRule type="cellIs" dxfId="246" priority="114" operator="equal">
      <formula>"Bajo"</formula>
    </cfRule>
  </conditionalFormatting>
  <conditionalFormatting sqref="R31">
    <cfRule type="cellIs" dxfId="245" priority="1767" operator="equal">
      <formula>"Extremo"</formula>
    </cfRule>
    <cfRule type="cellIs" dxfId="244" priority="1768" operator="equal">
      <formula>"Alto"</formula>
    </cfRule>
    <cfRule type="cellIs" dxfId="243" priority="1769" operator="equal">
      <formula>"Moderado"</formula>
    </cfRule>
    <cfRule type="cellIs" dxfId="242" priority="1770" operator="equal">
      <formula>"Bajo"</formula>
    </cfRule>
  </conditionalFormatting>
  <conditionalFormatting sqref="R33">
    <cfRule type="cellIs" dxfId="241" priority="1735" operator="equal">
      <formula>"Extremo"</formula>
    </cfRule>
    <cfRule type="cellIs" dxfId="240" priority="1736" operator="equal">
      <formula>"Alto"</formula>
    </cfRule>
    <cfRule type="cellIs" dxfId="239" priority="1737" operator="equal">
      <formula>"Moderado"</formula>
    </cfRule>
    <cfRule type="cellIs" dxfId="238" priority="1738" operator="equal">
      <formula>"Bajo"</formula>
    </cfRule>
  </conditionalFormatting>
  <conditionalFormatting sqref="R38">
    <cfRule type="cellIs" dxfId="237" priority="1706" operator="equal">
      <formula>"Extremo"</formula>
    </cfRule>
    <cfRule type="cellIs" dxfId="236" priority="1707" operator="equal">
      <formula>"Alto"</formula>
    </cfRule>
    <cfRule type="cellIs" dxfId="235" priority="1708" operator="equal">
      <formula>"Moderado"</formula>
    </cfRule>
    <cfRule type="cellIs" dxfId="234" priority="1709" operator="equal">
      <formula>"Bajo"</formula>
    </cfRule>
  </conditionalFormatting>
  <conditionalFormatting sqref="R41">
    <cfRule type="cellIs" dxfId="233" priority="1612" operator="equal">
      <formula>"Extremo"</formula>
    </cfRule>
    <cfRule type="cellIs" dxfId="232" priority="1613" operator="equal">
      <formula>"Alto"</formula>
    </cfRule>
    <cfRule type="cellIs" dxfId="231" priority="1614" operator="equal">
      <formula>"Moderado"</formula>
    </cfRule>
    <cfRule type="cellIs" dxfId="230" priority="1615" operator="equal">
      <formula>"Bajo"</formula>
    </cfRule>
  </conditionalFormatting>
  <conditionalFormatting sqref="R43">
    <cfRule type="cellIs" dxfId="229" priority="1659" operator="equal">
      <formula>"Extremo"</formula>
    </cfRule>
    <cfRule type="cellIs" dxfId="228" priority="1660" operator="equal">
      <formula>"Alto"</formula>
    </cfRule>
    <cfRule type="cellIs" dxfId="227" priority="1661" operator="equal">
      <formula>"Moderado"</formula>
    </cfRule>
    <cfRule type="cellIs" dxfId="226" priority="1662" operator="equal">
      <formula>"Bajo"</formula>
    </cfRule>
  </conditionalFormatting>
  <conditionalFormatting sqref="R45">
    <cfRule type="cellIs" dxfId="225" priority="1565" operator="equal">
      <formula>"Extremo"</formula>
    </cfRule>
    <cfRule type="cellIs" dxfId="224" priority="1566" operator="equal">
      <formula>"Alto"</formula>
    </cfRule>
    <cfRule type="cellIs" dxfId="223" priority="1567" operator="equal">
      <formula>"Moderado"</formula>
    </cfRule>
    <cfRule type="cellIs" dxfId="222" priority="1568" operator="equal">
      <formula>"Bajo"</formula>
    </cfRule>
  </conditionalFormatting>
  <conditionalFormatting sqref="R49:R51">
    <cfRule type="cellIs" dxfId="221" priority="29" operator="equal">
      <formula>"Extremo"</formula>
    </cfRule>
    <cfRule type="cellIs" dxfId="220" priority="30" operator="equal">
      <formula>"Alto"</formula>
    </cfRule>
    <cfRule type="cellIs" dxfId="219" priority="31" operator="equal">
      <formula>"Moderado"</formula>
    </cfRule>
    <cfRule type="cellIs" dxfId="218" priority="32" operator="equal">
      <formula>"Bajo"</formula>
    </cfRule>
  </conditionalFormatting>
  <conditionalFormatting sqref="R54">
    <cfRule type="cellIs" dxfId="217" priority="47" operator="equal">
      <formula>"Extremo"</formula>
    </cfRule>
    <cfRule type="cellIs" dxfId="216" priority="48" operator="equal">
      <formula>"Alto"</formula>
    </cfRule>
    <cfRule type="cellIs" dxfId="215" priority="49" operator="equal">
      <formula>"Moderado"</formula>
    </cfRule>
    <cfRule type="cellIs" dxfId="214" priority="50" operator="equal">
      <formula>"Bajo"</formula>
    </cfRule>
  </conditionalFormatting>
  <conditionalFormatting sqref="R57">
    <cfRule type="cellIs" dxfId="213" priority="65" operator="equal">
      <formula>"Extremo"</formula>
    </cfRule>
    <cfRule type="cellIs" dxfId="212" priority="66" operator="equal">
      <formula>"Alto"</formula>
    </cfRule>
    <cfRule type="cellIs" dxfId="211" priority="67" operator="equal">
      <formula>"Moderado"</formula>
    </cfRule>
    <cfRule type="cellIs" dxfId="210" priority="68" operator="equal">
      <formula>"Bajo"</formula>
    </cfRule>
  </conditionalFormatting>
  <conditionalFormatting sqref="R59">
    <cfRule type="cellIs" dxfId="209" priority="339" operator="equal">
      <formula>"Extremo"</formula>
    </cfRule>
    <cfRule type="cellIs" dxfId="208" priority="340" operator="equal">
      <formula>"Alto"</formula>
    </cfRule>
    <cfRule type="cellIs" dxfId="207" priority="341" operator="equal">
      <formula>"Moderado"</formula>
    </cfRule>
    <cfRule type="cellIs" dxfId="206" priority="342" operator="equal">
      <formula>"Bajo"</formula>
    </cfRule>
  </conditionalFormatting>
  <conditionalFormatting sqref="R61:R62">
    <cfRule type="cellIs" dxfId="205" priority="357" operator="equal">
      <formula>"Extremo"</formula>
    </cfRule>
    <cfRule type="cellIs" dxfId="204" priority="358" operator="equal">
      <formula>"Alto"</formula>
    </cfRule>
    <cfRule type="cellIs" dxfId="203" priority="359" operator="equal">
      <formula>"Moderado"</formula>
    </cfRule>
    <cfRule type="cellIs" dxfId="202" priority="360" operator="equal">
      <formula>"Bajo"</formula>
    </cfRule>
  </conditionalFormatting>
  <conditionalFormatting sqref="R64">
    <cfRule type="cellIs" dxfId="201" priority="1156" operator="equal">
      <formula>"Extremo"</formula>
    </cfRule>
    <cfRule type="cellIs" dxfId="200" priority="1157" operator="equal">
      <formula>"Alto"</formula>
    </cfRule>
    <cfRule type="cellIs" dxfId="199" priority="1158" operator="equal">
      <formula>"Moderado"</formula>
    </cfRule>
    <cfRule type="cellIs" dxfId="198" priority="1159" operator="equal">
      <formula>"Bajo"</formula>
    </cfRule>
  </conditionalFormatting>
  <conditionalFormatting sqref="R66">
    <cfRule type="cellIs" dxfId="197" priority="249" operator="equal">
      <formula>"Extremo"</formula>
    </cfRule>
    <cfRule type="cellIs" dxfId="196" priority="250" operator="equal">
      <formula>"Alto"</formula>
    </cfRule>
    <cfRule type="cellIs" dxfId="195" priority="251" operator="equal">
      <formula>"Moderado"</formula>
    </cfRule>
    <cfRule type="cellIs" dxfId="194" priority="252" operator="equal">
      <formula>"Bajo"</formula>
    </cfRule>
  </conditionalFormatting>
  <conditionalFormatting sqref="R68:R69">
    <cfRule type="cellIs" dxfId="193" priority="2093" operator="equal">
      <formula>"Extremo"</formula>
    </cfRule>
    <cfRule type="cellIs" dxfId="192" priority="2094" operator="equal">
      <formula>"Alto"</formula>
    </cfRule>
    <cfRule type="cellIs" dxfId="191" priority="2095" operator="equal">
      <formula>"Moderado"</formula>
    </cfRule>
    <cfRule type="cellIs" dxfId="190" priority="2096" operator="equal">
      <formula>"Bajo"</formula>
    </cfRule>
  </conditionalFormatting>
  <conditionalFormatting sqref="R72">
    <cfRule type="cellIs" dxfId="189" priority="968" operator="equal">
      <formula>"Extremo"</formula>
    </cfRule>
    <cfRule type="cellIs" dxfId="188" priority="969" operator="equal">
      <formula>"Alto"</formula>
    </cfRule>
    <cfRule type="cellIs" dxfId="187" priority="970" operator="equal">
      <formula>"Moderado"</formula>
    </cfRule>
    <cfRule type="cellIs" dxfId="186" priority="971" operator="equal">
      <formula>"Bajo"</formula>
    </cfRule>
  </conditionalFormatting>
  <conditionalFormatting sqref="R75:R76">
    <cfRule type="cellIs" dxfId="185" priority="780" operator="equal">
      <formula>"Extremo"</formula>
    </cfRule>
    <cfRule type="cellIs" dxfId="184" priority="781" operator="equal">
      <formula>"Alto"</formula>
    </cfRule>
    <cfRule type="cellIs" dxfId="183" priority="782" operator="equal">
      <formula>"Moderado"</formula>
    </cfRule>
    <cfRule type="cellIs" dxfId="182" priority="783" operator="equal">
      <formula>"Bajo"</formula>
    </cfRule>
  </conditionalFormatting>
  <conditionalFormatting sqref="R81:R85">
    <cfRule type="cellIs" dxfId="181" priority="231" operator="equal">
      <formula>"Extremo"</formula>
    </cfRule>
    <cfRule type="cellIs" dxfId="180" priority="232" operator="equal">
      <formula>"Alto"</formula>
    </cfRule>
    <cfRule type="cellIs" dxfId="179" priority="233" operator="equal">
      <formula>"Moderado"</formula>
    </cfRule>
    <cfRule type="cellIs" dxfId="178" priority="234" operator="equal">
      <formula>"Bajo"</formula>
    </cfRule>
  </conditionalFormatting>
  <conditionalFormatting sqref="R91:R92">
    <cfRule type="cellIs" dxfId="177" priority="213" operator="equal">
      <formula>"Extremo"</formula>
    </cfRule>
    <cfRule type="cellIs" dxfId="176" priority="214" operator="equal">
      <formula>"Alto"</formula>
    </cfRule>
    <cfRule type="cellIs" dxfId="175" priority="215" operator="equal">
      <formula>"Moderado"</formula>
    </cfRule>
    <cfRule type="cellIs" dxfId="174" priority="216" operator="equal">
      <formula>"Bajo"</formula>
    </cfRule>
  </conditionalFormatting>
  <conditionalFormatting sqref="R94">
    <cfRule type="cellIs" dxfId="173" priority="1843" operator="equal">
      <formula>"Extremo"</formula>
    </cfRule>
    <cfRule type="cellIs" dxfId="172" priority="1844" operator="equal">
      <formula>"Alto"</formula>
    </cfRule>
    <cfRule type="cellIs" dxfId="171" priority="1845" operator="equal">
      <formula>"Moderado"</formula>
    </cfRule>
    <cfRule type="cellIs" dxfId="170" priority="1846" operator="equal">
      <formula>"Bajo"</formula>
    </cfRule>
  </conditionalFormatting>
  <conditionalFormatting sqref="R97:R98">
    <cfRule type="cellIs" dxfId="169" priority="267" operator="equal">
      <formula>"Extremo"</formula>
    </cfRule>
    <cfRule type="cellIs" dxfId="168" priority="268" operator="equal">
      <formula>"Alto"</formula>
    </cfRule>
    <cfRule type="cellIs" dxfId="167" priority="269" operator="equal">
      <formula>"Moderado"</formula>
    </cfRule>
    <cfRule type="cellIs" dxfId="166" priority="270" operator="equal">
      <formula>"Bajo"</formula>
    </cfRule>
  </conditionalFormatting>
  <conditionalFormatting sqref="AD91:AD100 L100">
    <cfRule type="cellIs" dxfId="165" priority="2160" operator="equal">
      <formula>"Muy Alta"</formula>
    </cfRule>
    <cfRule type="cellIs" dxfId="164" priority="2161" operator="equal">
      <formula>"Alta"</formula>
    </cfRule>
    <cfRule type="cellIs" dxfId="163" priority="2162" operator="equal">
      <formula>"Media"</formula>
    </cfRule>
    <cfRule type="cellIs" dxfId="162" priority="2163" operator="equal">
      <formula>"Baja"</formula>
    </cfRule>
    <cfRule type="cellIs" dxfId="161" priority="2164" operator="equal">
      <formula>"Muy Baja"</formula>
    </cfRule>
  </conditionalFormatting>
  <conditionalFormatting sqref="P100">
    <cfRule type="cellIs" dxfId="160" priority="2155" operator="equal">
      <formula>"Catastrófico"</formula>
    </cfRule>
    <cfRule type="cellIs" dxfId="159" priority="2156" operator="equal">
      <formula>"Mayor"</formula>
    </cfRule>
    <cfRule type="cellIs" dxfId="158" priority="2157" operator="equal">
      <formula>"Moderado"</formula>
    </cfRule>
    <cfRule type="cellIs" dxfId="157" priority="2158" operator="equal">
      <formula>"Menor"</formula>
    </cfRule>
    <cfRule type="cellIs" dxfId="156" priority="2159" operator="equal">
      <formula>"Leve"</formula>
    </cfRule>
  </conditionalFormatting>
  <conditionalFormatting sqref="R100">
    <cfRule type="cellIs" dxfId="155" priority="2151" operator="equal">
      <formula>"Extremo"</formula>
    </cfRule>
    <cfRule type="cellIs" dxfId="154" priority="2152" operator="equal">
      <formula>"Alto"</formula>
    </cfRule>
    <cfRule type="cellIs" dxfId="153" priority="2153" operator="equal">
      <formula>"Moderado"</formula>
    </cfRule>
    <cfRule type="cellIs" dxfId="152" priority="2154" operator="equal">
      <formula>"Bajo"</formula>
    </cfRule>
  </conditionalFormatting>
  <conditionalFormatting sqref="R7">
    <cfRule type="cellIs" dxfId="151" priority="20" operator="equal">
      <formula>"Extremo"</formula>
    </cfRule>
    <cfRule type="cellIs" dxfId="150" priority="21" operator="equal">
      <formula>"Alto"</formula>
    </cfRule>
    <cfRule type="cellIs" dxfId="149" priority="22" operator="equal">
      <formula>"Moderado"</formula>
    </cfRule>
    <cfRule type="cellIs" dxfId="148" priority="23" operator="equal">
      <formula>"Bajo"</formula>
    </cfRule>
  </conditionalFormatting>
  <conditionalFormatting sqref="AD90">
    <cfRule type="cellIs" dxfId="147" priority="15" operator="equal">
      <formula>"Muy Alta"</formula>
    </cfRule>
    <cfRule type="cellIs" dxfId="146" priority="16" operator="equal">
      <formula>"Alta"</formula>
    </cfRule>
    <cfRule type="cellIs" dxfId="145" priority="17" operator="equal">
      <formula>"Media"</formula>
    </cfRule>
    <cfRule type="cellIs" dxfId="144" priority="18" operator="equal">
      <formula>"Baja"</formula>
    </cfRule>
    <cfRule type="cellIs" dxfId="143" priority="19" operator="equal">
      <formula>"Muy Baja"</formula>
    </cfRule>
  </conditionalFormatting>
  <conditionalFormatting sqref="AD52">
    <cfRule type="cellIs" dxfId="142" priority="10" operator="equal">
      <formula>"Muy Alta"</formula>
    </cfRule>
    <cfRule type="cellIs" dxfId="141" priority="11" operator="equal">
      <formula>"Alta"</formula>
    </cfRule>
    <cfRule type="cellIs" dxfId="140" priority="12" operator="equal">
      <formula>"Media"</formula>
    </cfRule>
    <cfRule type="cellIs" dxfId="139" priority="13" operator="equal">
      <formula>"Baja"</formula>
    </cfRule>
    <cfRule type="cellIs" dxfId="138" priority="14" operator="equal">
      <formula>"Muy Baja"</formula>
    </cfRule>
  </conditionalFormatting>
  <conditionalFormatting sqref="AH52">
    <cfRule type="cellIs" dxfId="137" priority="1" operator="equal">
      <formula>"Extremo"</formula>
    </cfRule>
    <cfRule type="cellIs" dxfId="136" priority="2" operator="equal">
      <formula>"Alto"</formula>
    </cfRule>
    <cfRule type="cellIs" dxfId="135" priority="3" operator="equal">
      <formula>"Moderado"</formula>
    </cfRule>
    <cfRule type="cellIs" dxfId="134" priority="4" operator="equal">
      <formula>"Bajo"</formula>
    </cfRule>
  </conditionalFormatting>
  <dataValidations count="1">
    <dataValidation type="list" allowBlank="1" showInputMessage="1" showErrorMessage="1" sqref="U76:U80 I84 I68:I71 U92:U96 I11:I16 I92:I93 U11:U16 I100 I31:I48 U31:U48 U64:U65 I64:I65" xr:uid="{00000000-0002-0000-0300-00000A000000}"/>
  </dataValidation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18">
        <x14:dataValidation type="list" allowBlank="1" showInputMessage="1" showErrorMessage="1" xr:uid="{00000000-0002-0000-0300-000001000000}">
          <x14:formula1>
            <xm:f>'Opciones Tratamiento'!$B$15:$B$24</xm:f>
          </x14:formula1>
          <xm:sqref>I94:I96 I98:I99 I72:I84</xm:sqref>
        </x14:dataValidation>
        <x14:dataValidation type="list" allowBlank="1" showInputMessage="1" showErrorMessage="1" xr:uid="{00000000-0002-0000-0300-000004000000}">
          <x14:formula1>
            <xm:f>'Opciones Tratamiento'!$E$9:$E$10</xm:f>
          </x14:formula1>
          <xm:sqref>U81:U84 U98:U100 U68:U75</xm:sqref>
        </x14:dataValidation>
        <x14:dataValidation type="custom" allowBlank="1" showInputMessage="1" showErrorMessage="1" error="Recuerde que las acciones se generan bajo la medida de mitigar el riesgo" xr:uid="{00000000-0002-0000-0300-000006000000}">
          <x14:formula1>
            <xm:f>IF(OR(AI37='Opciones Tratamiento'!$B$2,AI37='Opciones Tratamiento'!$B$3,AI37='Opciones Tratamiento'!$B$4),ISBLANK(AI37),ISTEXT(AI37))</xm:f>
          </x14:formula1>
          <xm:sqref>AS37 AS100 AS74:AS84 AS69:AS71</xm:sqref>
        </x14:dataValidation>
        <x14:dataValidation type="custom" allowBlank="1" showInputMessage="1" showErrorMessage="1" error="Recuerde que las acciones se generan bajo la medida de mitigar el riesgo" xr:uid="{00000000-0002-0000-0300-000007000000}">
          <x14:formula1>
            <xm:f>IF(OR(AI37='Opciones Tratamiento'!$B$2,AI37='Opciones Tratamiento'!$B$3,AI37='Opciones Tratamiento'!$B$4),ISBLANK(AI37),ISTEXT(AI37))</xm:f>
          </x14:formula1>
          <xm:sqref>AR37 AR100 AR74:AR84 AR69:AR71</xm:sqref>
        </x14:dataValidation>
        <x14:dataValidation type="custom" allowBlank="1" showInputMessage="1" showErrorMessage="1" error="Recuerde que las acciones se generan bajo la medida de mitigar el riesgo" xr:uid="{00000000-0002-0000-0300-000008000000}">
          <x14:formula1>
            <xm:f>IF(OR(AI37='Opciones Tratamiento'!$B$2,AI37='Opciones Tratamiento'!$B$3,AI37='Opciones Tratamiento'!$B$4),ISBLANK(AI37),ISTEXT(AI37))</xm:f>
          </x14:formula1>
          <xm:sqref>AQ37 AQ100 AQ74:AQ84 AQ69:AQ71</xm:sqref>
        </x14:dataValidation>
        <x14:dataValidation type="custom" allowBlank="1" showInputMessage="1" showErrorMessage="1" error="Recuerde que las acciones se generan bajo la medida de mitigar el riesgo" xr:uid="{00000000-0002-0000-0300-000009000000}">
          <x14:formula1>
            <xm:f>IF(OR(AI37='Opciones Tratamiento'!$B$2,AI37='Opciones Tratamiento'!$B$3,AI37='Opciones Tratamiento'!$B$4),ISBLANK(AI37),ISTEXT(AI37))</xm:f>
          </x14:formula1>
          <xm:sqref>AO37:AP37 AO100:AP100 AO74:AP84 AO69:AP71</xm:sqref>
        </x14:dataValidation>
        <x14:dataValidation type="list" allowBlank="1" showInputMessage="1" showErrorMessage="1" xr:uid="{00000000-0002-0000-0300-000005000000}">
          <x14:formula1>
            <xm:f>Listas!$B$5:$B$35</xm:f>
          </x14:formula1>
          <xm:sqref>C11:C16 C92:C96 C31:C37</xm:sqref>
        </x14:dataValidation>
        <x14:dataValidation type="list" allowBlank="1" showInputMessage="1" showErrorMessage="1" xr:uid="{00000000-0002-0000-0300-000013000000}">
          <x14:formula1>
            <xm:f>'Opciones Tratamiento'!$E$2:$E$4</xm:f>
          </x14:formula1>
          <xm:sqref>E11:E16 E92:E96 E31:E48 E64:E65 E98:E100 E68:E84</xm:sqref>
        </x14:dataValidation>
        <x14:dataValidation type="list" allowBlank="1" showInputMessage="1" showErrorMessage="1" xr:uid="{00000000-0002-0000-0300-000014000000}">
          <x14:formula1>
            <xm:f>Listas!$L$5:$L$6</xm:f>
          </x14:formula1>
          <xm:sqref>B11:B16 B92:B96 B31:B48 B64:B65 B98:B100 B68:B84</xm:sqref>
        </x14:dataValidation>
        <x14:dataValidation type="list" allowBlank="1" showInputMessage="1" showErrorMessage="1" xr:uid="{00000000-0002-0000-0300-000015000000}">
          <x14:formula1>
            <xm:f>Listas!$K$5:$K$11</xm:f>
          </x14:formula1>
          <xm:sqref>D11:D16 D92:D96 D31:D48 D64:D65 D98:D100 D68:D84</xm:sqref>
        </x14:dataValidation>
        <x14:dataValidation type="list" allowBlank="1" showInputMessage="1" showErrorMessage="1" xr:uid="{00000000-0002-0000-0300-000016000000}">
          <x14:formula1>
            <xm:f>'Tabla Impacto'!$F$210:$F$221</xm:f>
          </x14:formula1>
          <xm:sqref>N11:N16 N92:N96 N31:N48 N64:N65 N98:N100 N68:N84</xm:sqref>
        </x14:dataValidation>
        <x14:dataValidation type="list" allowBlank="1" showInputMessage="1" showErrorMessage="1" xr:uid="{00000000-0002-0000-0300-000017000000}">
          <x14:formula1>
            <xm:f>'Tabla Valoración controles'!$D$13:$D$14</xm:f>
          </x14:formula1>
          <xm:sqref>AB11:AB16 AB92:AB96 AB31:AB48 AB64:AB65 AB98:AB100 AB68:AB84</xm:sqref>
        </x14:dataValidation>
        <x14:dataValidation type="list" allowBlank="1" showInputMessage="1" showErrorMessage="1" xr:uid="{00000000-0002-0000-0300-000018000000}">
          <x14:formula1>
            <xm:f>'Tabla Valoración controles'!$D$11:$D$12</xm:f>
          </x14:formula1>
          <xm:sqref>AA11:AA16 AA92:AA96 AA31:AA48 AA64:AA65 AA98:AA100 AA68:AA84</xm:sqref>
        </x14:dataValidation>
        <x14:dataValidation type="list" allowBlank="1" showInputMessage="1" showErrorMessage="1" xr:uid="{00000000-0002-0000-0300-000019000000}">
          <x14:formula1>
            <xm:f>'Tabla Valoración controles'!$D$9:$D$10</xm:f>
          </x14:formula1>
          <xm:sqref>Z11:Z16 Z92:Z96 Z31:Z48 Z64:Z65 Z98:Z100 Z68:Z84</xm:sqref>
        </x14:dataValidation>
        <x14:dataValidation type="list" allowBlank="1" showInputMessage="1" showErrorMessage="1" xr:uid="{00000000-0002-0000-0300-00001A000000}">
          <x14:formula1>
            <xm:f>'Tabla Valoración controles'!$D$7:$D$8</xm:f>
          </x14:formula1>
          <xm:sqref>X11:X16 X92:X96 X31:X48 X64:X65 X98:X100 X68:X84</xm:sqref>
        </x14:dataValidation>
        <x14:dataValidation type="list" allowBlank="1" showInputMessage="1" showErrorMessage="1" xr:uid="{00000000-0002-0000-0300-00001B000000}">
          <x14:formula1>
            <xm:f>'Tabla Valoración controles'!$D$4:$D$6</xm:f>
          </x14:formula1>
          <xm:sqref>W11:W16 W92:W96 W31:W48 W64:W65 W98:W100 W68:W84</xm:sqref>
        </x14:dataValidation>
        <x14:dataValidation type="list" allowBlank="1" showInputMessage="1" showErrorMessage="1" xr:uid="{00000000-0002-0000-0300-00001C000000}">
          <x14:formula1>
            <xm:f>'Opciones Tratamiento'!$B$2:$B$5</xm:f>
          </x14:formula1>
          <xm:sqref>AI11:AI16 AI92:AI96 AI31:AI48 AI64:AI65 AI98:AI100 AI68:AI84</xm:sqref>
        </x14:dataValidation>
        <x14:dataValidation type="list" allowBlank="1" showInputMessage="1" showErrorMessage="1" xr:uid="{00000000-0002-0000-0300-00000D000000}">
          <x14:formula1>
            <xm:f>Listas!$B$5:$B$34</xm:f>
          </x14:formula1>
          <xm:sqref>C38:C48 C64:C65 C98:C100 C68:C84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H54"/>
  <sheetViews>
    <sheetView zoomScale="70" zoomScaleNormal="70" workbookViewId="0">
      <selection activeCell="A56" sqref="A56:XFD62"/>
    </sheetView>
  </sheetViews>
  <sheetFormatPr baseColWidth="10" defaultColWidth="11.42578125" defaultRowHeight="15" x14ac:dyDescent="0.25"/>
  <cols>
    <col min="1" max="1" width="2.85546875" style="70" customWidth="1"/>
    <col min="2" max="2" width="24.7109375" style="70" customWidth="1"/>
    <col min="3" max="3" width="22.42578125" style="70" customWidth="1"/>
    <col min="4" max="4" width="16" style="70" customWidth="1"/>
    <col min="5" max="5" width="26.42578125" style="70" customWidth="1"/>
    <col min="6" max="6" width="30.140625" style="70" customWidth="1"/>
    <col min="7" max="8" width="24.7109375" style="70" customWidth="1"/>
    <col min="9" max="16384" width="11.42578125" style="70"/>
  </cols>
  <sheetData>
    <row r="1" spans="1:8" s="129" customFormat="1" ht="28.5" customHeight="1" thickTop="1" x14ac:dyDescent="0.2">
      <c r="A1" s="530"/>
      <c r="B1" s="531"/>
      <c r="C1" s="385" t="s">
        <v>274</v>
      </c>
      <c r="D1" s="385"/>
      <c r="E1" s="385"/>
      <c r="F1" s="385"/>
      <c r="G1" s="385"/>
      <c r="H1" s="386"/>
    </row>
    <row r="2" spans="1:8" s="129" customFormat="1" ht="27.75" customHeight="1" x14ac:dyDescent="0.2">
      <c r="A2" s="532"/>
      <c r="B2" s="533"/>
      <c r="C2" s="387" t="s">
        <v>588</v>
      </c>
      <c r="D2" s="387"/>
      <c r="E2" s="387"/>
      <c r="F2" s="387"/>
      <c r="G2" s="387"/>
      <c r="H2" s="388"/>
    </row>
    <row r="3" spans="1:8" s="129" customFormat="1" ht="24" customHeight="1" thickBot="1" x14ac:dyDescent="0.25">
      <c r="A3" s="534"/>
      <c r="B3" s="535"/>
      <c r="C3" s="389"/>
      <c r="D3" s="389"/>
      <c r="E3" s="389"/>
      <c r="F3" s="389"/>
      <c r="G3" s="389"/>
      <c r="H3" s="390"/>
    </row>
    <row r="4" spans="1:8" ht="16.5" thickTop="1" thickBot="1" x14ac:dyDescent="0.3"/>
    <row r="5" spans="1:8" x14ac:dyDescent="0.25">
      <c r="B5" s="536" t="s">
        <v>298</v>
      </c>
      <c r="C5" s="537"/>
      <c r="D5" s="537"/>
      <c r="E5" s="537"/>
      <c r="F5" s="537"/>
      <c r="G5" s="537"/>
      <c r="H5" s="538"/>
    </row>
    <row r="6" spans="1:8" ht="69" customHeight="1" x14ac:dyDescent="0.25">
      <c r="B6" s="539" t="s">
        <v>564</v>
      </c>
      <c r="C6" s="540"/>
      <c r="D6" s="540"/>
      <c r="E6" s="540"/>
      <c r="F6" s="540"/>
      <c r="G6" s="540"/>
      <c r="H6" s="541"/>
    </row>
    <row r="7" spans="1:8" ht="63" customHeight="1" x14ac:dyDescent="0.25">
      <c r="B7" s="539" t="s">
        <v>565</v>
      </c>
      <c r="C7" s="540"/>
      <c r="D7" s="540"/>
      <c r="E7" s="540"/>
      <c r="F7" s="540"/>
      <c r="G7" s="540"/>
      <c r="H7" s="541"/>
    </row>
    <row r="8" spans="1:8" x14ac:dyDescent="0.25">
      <c r="B8" s="542" t="s">
        <v>130</v>
      </c>
      <c r="C8" s="543"/>
      <c r="D8" s="543"/>
      <c r="E8" s="543"/>
      <c r="F8" s="543"/>
      <c r="G8" s="543"/>
      <c r="H8" s="544"/>
    </row>
    <row r="9" spans="1:8" ht="114" customHeight="1" x14ac:dyDescent="0.25">
      <c r="B9" s="545" t="s">
        <v>545</v>
      </c>
      <c r="C9" s="391"/>
      <c r="D9" s="391"/>
      <c r="E9" s="391"/>
      <c r="F9" s="391"/>
      <c r="G9" s="391"/>
      <c r="H9" s="546"/>
    </row>
    <row r="10" spans="1:8" ht="20.100000000000001" customHeight="1" x14ac:dyDescent="0.25">
      <c r="B10" s="207" t="s">
        <v>299</v>
      </c>
      <c r="C10" s="387" t="s">
        <v>300</v>
      </c>
      <c r="D10" s="387"/>
      <c r="E10" s="387"/>
      <c r="F10" s="387"/>
      <c r="G10" s="208"/>
      <c r="H10" s="209"/>
    </row>
    <row r="11" spans="1:8" ht="30" x14ac:dyDescent="0.25">
      <c r="B11" s="207"/>
      <c r="C11" s="210" t="s">
        <v>566</v>
      </c>
      <c r="D11" s="211" t="s">
        <v>301</v>
      </c>
      <c r="E11" s="210" t="s">
        <v>302</v>
      </c>
      <c r="F11" s="210" t="s">
        <v>303</v>
      </c>
      <c r="G11" s="208"/>
      <c r="H11" s="209"/>
    </row>
    <row r="12" spans="1:8" ht="95.25" customHeight="1" x14ac:dyDescent="0.25">
      <c r="B12" s="207"/>
      <c r="C12" s="212" t="s">
        <v>304</v>
      </c>
      <c r="D12" s="186" t="s">
        <v>305</v>
      </c>
      <c r="E12" s="186" t="s">
        <v>305</v>
      </c>
      <c r="F12" s="186" t="s">
        <v>305</v>
      </c>
      <c r="G12" s="208"/>
      <c r="H12" s="209"/>
    </row>
    <row r="13" spans="1:8" ht="16.5" x14ac:dyDescent="0.3">
      <c r="B13" s="547"/>
      <c r="C13" s="376"/>
      <c r="D13" s="376"/>
      <c r="E13" s="376"/>
      <c r="F13" s="376"/>
      <c r="G13" s="376"/>
      <c r="H13" s="548"/>
    </row>
    <row r="14" spans="1:8" ht="39.75" customHeight="1" x14ac:dyDescent="0.25">
      <c r="B14" s="524" t="s">
        <v>546</v>
      </c>
      <c r="C14" s="525"/>
      <c r="D14" s="525"/>
      <c r="E14" s="525"/>
      <c r="F14" s="525"/>
      <c r="G14" s="525"/>
      <c r="H14" s="526"/>
    </row>
    <row r="15" spans="1:8" ht="42" customHeight="1" thickBot="1" x14ac:dyDescent="0.3">
      <c r="B15" s="527"/>
      <c r="C15" s="528"/>
      <c r="D15" s="528"/>
      <c r="E15" s="528"/>
      <c r="F15" s="528"/>
      <c r="G15" s="528"/>
      <c r="H15" s="529"/>
    </row>
    <row r="16" spans="1:8" ht="17.25" thickBot="1" x14ac:dyDescent="0.35">
      <c r="B16" s="188"/>
      <c r="C16" s="189"/>
      <c r="D16" s="190"/>
      <c r="E16" s="191"/>
      <c r="F16" s="191"/>
      <c r="G16" s="192"/>
      <c r="H16" s="193"/>
    </row>
    <row r="17" spans="2:8" ht="17.25" thickTop="1" x14ac:dyDescent="0.3">
      <c r="B17" s="213"/>
      <c r="C17" s="549" t="s">
        <v>131</v>
      </c>
      <c r="D17" s="550"/>
      <c r="E17" s="551" t="s">
        <v>169</v>
      </c>
      <c r="F17" s="552"/>
      <c r="G17" s="189"/>
      <c r="H17" s="193"/>
    </row>
    <row r="18" spans="2:8" ht="93" customHeight="1" x14ac:dyDescent="0.3">
      <c r="B18" s="213"/>
      <c r="C18" s="553" t="s">
        <v>133</v>
      </c>
      <c r="D18" s="554"/>
      <c r="E18" s="555" t="s">
        <v>547</v>
      </c>
      <c r="F18" s="556"/>
      <c r="G18" s="189"/>
      <c r="H18" s="193"/>
    </row>
    <row r="19" spans="2:8" ht="28.5" customHeight="1" x14ac:dyDescent="0.3">
      <c r="B19" s="213"/>
      <c r="C19" s="553" t="s">
        <v>162</v>
      </c>
      <c r="D19" s="554"/>
      <c r="E19" s="555" t="s">
        <v>167</v>
      </c>
      <c r="F19" s="556"/>
      <c r="G19" s="189"/>
      <c r="H19" s="193"/>
    </row>
    <row r="20" spans="2:8" ht="232.5" customHeight="1" x14ac:dyDescent="0.3">
      <c r="B20" s="213"/>
      <c r="C20" s="557" t="s">
        <v>306</v>
      </c>
      <c r="D20" s="558"/>
      <c r="E20" s="559" t="s">
        <v>567</v>
      </c>
      <c r="F20" s="560"/>
      <c r="G20" s="189"/>
      <c r="H20" s="193"/>
    </row>
    <row r="21" spans="2:8" ht="109.5" customHeight="1" x14ac:dyDescent="0.3">
      <c r="B21" s="213"/>
      <c r="C21" s="557" t="s">
        <v>0</v>
      </c>
      <c r="D21" s="558"/>
      <c r="E21" s="555" t="s">
        <v>548</v>
      </c>
      <c r="F21" s="556"/>
      <c r="G21" s="189"/>
      <c r="H21" s="193"/>
    </row>
    <row r="22" spans="2:8" ht="16.5" x14ac:dyDescent="0.3">
      <c r="B22" s="213"/>
      <c r="C22" s="557" t="s">
        <v>36</v>
      </c>
      <c r="D22" s="558"/>
      <c r="E22" s="555" t="s">
        <v>233</v>
      </c>
      <c r="F22" s="556"/>
      <c r="G22" s="189"/>
      <c r="H22" s="193"/>
    </row>
    <row r="23" spans="2:8" ht="58.5" customHeight="1" x14ac:dyDescent="0.3">
      <c r="B23" s="213"/>
      <c r="C23" s="214" t="s">
        <v>307</v>
      </c>
      <c r="D23" s="215"/>
      <c r="E23" s="559" t="s">
        <v>325</v>
      </c>
      <c r="F23" s="560"/>
      <c r="G23" s="189"/>
      <c r="H23" s="193"/>
    </row>
    <row r="24" spans="2:8" ht="137.25" customHeight="1" x14ac:dyDescent="0.3">
      <c r="B24" s="213"/>
      <c r="C24" s="561" t="s">
        <v>36</v>
      </c>
      <c r="D24" s="216" t="s">
        <v>3</v>
      </c>
      <c r="E24" s="555" t="s">
        <v>324</v>
      </c>
      <c r="F24" s="556"/>
      <c r="G24" s="189"/>
      <c r="H24" s="193"/>
    </row>
    <row r="25" spans="2:8" ht="54" customHeight="1" x14ac:dyDescent="0.3">
      <c r="B25" s="213"/>
      <c r="C25" s="561"/>
      <c r="D25" s="216" t="s">
        <v>1</v>
      </c>
      <c r="E25" s="555" t="s">
        <v>549</v>
      </c>
      <c r="F25" s="556"/>
      <c r="G25" s="189"/>
      <c r="H25" s="193"/>
    </row>
    <row r="26" spans="2:8" ht="69" customHeight="1" x14ac:dyDescent="0.3">
      <c r="B26" s="213"/>
      <c r="C26" s="557" t="s">
        <v>550</v>
      </c>
      <c r="D26" s="558"/>
      <c r="E26" s="555" t="s">
        <v>308</v>
      </c>
      <c r="F26" s="556"/>
      <c r="G26" s="189"/>
      <c r="H26" s="193"/>
    </row>
    <row r="27" spans="2:8" ht="75" customHeight="1" x14ac:dyDescent="0.3">
      <c r="B27" s="213"/>
      <c r="C27" s="557" t="s">
        <v>129</v>
      </c>
      <c r="D27" s="558"/>
      <c r="E27" s="555" t="s">
        <v>586</v>
      </c>
      <c r="F27" s="556"/>
      <c r="G27" s="189"/>
      <c r="H27" s="193"/>
    </row>
    <row r="28" spans="2:8" ht="54" customHeight="1" x14ac:dyDescent="0.3">
      <c r="B28" s="213"/>
      <c r="C28" s="557" t="s">
        <v>309</v>
      </c>
      <c r="D28" s="558"/>
      <c r="E28" s="555" t="s">
        <v>551</v>
      </c>
      <c r="F28" s="556"/>
      <c r="G28" s="189"/>
      <c r="H28" s="193"/>
    </row>
    <row r="29" spans="2:8" ht="63.75" customHeight="1" x14ac:dyDescent="0.3">
      <c r="B29" s="213"/>
      <c r="C29" s="561" t="s">
        <v>267</v>
      </c>
      <c r="D29" s="216" t="s">
        <v>268</v>
      </c>
      <c r="E29" s="555" t="s">
        <v>552</v>
      </c>
      <c r="F29" s="556"/>
      <c r="G29" s="189"/>
      <c r="H29" s="193"/>
    </row>
    <row r="30" spans="2:8" ht="90.75" customHeight="1" x14ac:dyDescent="0.3">
      <c r="B30" s="213"/>
      <c r="C30" s="561"/>
      <c r="D30" s="216" t="s">
        <v>269</v>
      </c>
      <c r="E30" s="555" t="s">
        <v>553</v>
      </c>
      <c r="F30" s="556"/>
      <c r="G30" s="189"/>
      <c r="H30" s="193"/>
    </row>
    <row r="31" spans="2:8" ht="93" customHeight="1" x14ac:dyDescent="0.3">
      <c r="B31" s="213"/>
      <c r="C31" s="561"/>
      <c r="D31" s="216" t="s">
        <v>310</v>
      </c>
      <c r="E31" s="555" t="s">
        <v>554</v>
      </c>
      <c r="F31" s="556"/>
      <c r="G31" s="189"/>
      <c r="H31" s="193"/>
    </row>
    <row r="32" spans="2:8" ht="110.25" customHeight="1" x14ac:dyDescent="0.3">
      <c r="B32" s="213"/>
      <c r="C32" s="561"/>
      <c r="D32" s="216" t="s">
        <v>270</v>
      </c>
      <c r="E32" s="555" t="s">
        <v>555</v>
      </c>
      <c r="F32" s="556"/>
      <c r="G32" s="189"/>
      <c r="H32" s="193"/>
    </row>
    <row r="33" spans="2:8" ht="96" customHeight="1" x14ac:dyDescent="0.3">
      <c r="B33" s="213"/>
      <c r="C33" s="561"/>
      <c r="D33" s="216" t="s">
        <v>311</v>
      </c>
      <c r="E33" s="555" t="s">
        <v>556</v>
      </c>
      <c r="F33" s="556"/>
      <c r="G33" s="189"/>
      <c r="H33" s="193"/>
    </row>
    <row r="34" spans="2:8" ht="108" customHeight="1" x14ac:dyDescent="0.3">
      <c r="B34" s="213"/>
      <c r="C34" s="561"/>
      <c r="D34" s="216" t="s">
        <v>271</v>
      </c>
      <c r="E34" s="555" t="s">
        <v>557</v>
      </c>
      <c r="F34" s="556"/>
      <c r="G34" s="189"/>
      <c r="H34" s="193"/>
    </row>
    <row r="35" spans="2:8" ht="102.75" customHeight="1" x14ac:dyDescent="0.3">
      <c r="B35" s="213"/>
      <c r="C35" s="561"/>
      <c r="D35" s="216" t="s">
        <v>272</v>
      </c>
      <c r="E35" s="555" t="s">
        <v>558</v>
      </c>
      <c r="F35" s="556"/>
      <c r="G35" s="189"/>
      <c r="H35" s="193"/>
    </row>
    <row r="36" spans="2:8" ht="116.25" customHeight="1" x14ac:dyDescent="0.3">
      <c r="B36" s="213"/>
      <c r="C36" s="557" t="s">
        <v>312</v>
      </c>
      <c r="D36" s="558"/>
      <c r="E36" s="555" t="s">
        <v>313</v>
      </c>
      <c r="F36" s="556"/>
      <c r="G36" s="189"/>
      <c r="H36" s="193"/>
    </row>
    <row r="37" spans="2:8" ht="133.5" customHeight="1" x14ac:dyDescent="0.3">
      <c r="B37" s="213"/>
      <c r="C37" s="557" t="s">
        <v>314</v>
      </c>
      <c r="D37" s="558"/>
      <c r="E37" s="555" t="s">
        <v>559</v>
      </c>
      <c r="F37" s="556"/>
      <c r="G37" s="189"/>
      <c r="H37" s="193"/>
    </row>
    <row r="38" spans="2:8" ht="91.5" customHeight="1" x14ac:dyDescent="0.3">
      <c r="B38" s="213"/>
      <c r="C38" s="561" t="s">
        <v>560</v>
      </c>
      <c r="D38" s="215" t="s">
        <v>315</v>
      </c>
      <c r="E38" s="555" t="s">
        <v>568</v>
      </c>
      <c r="F38" s="556"/>
      <c r="G38" s="189"/>
      <c r="H38" s="193"/>
    </row>
    <row r="39" spans="2:8" ht="72" customHeight="1" x14ac:dyDescent="0.3">
      <c r="B39" s="213"/>
      <c r="C39" s="561"/>
      <c r="D39" s="215" t="s">
        <v>316</v>
      </c>
      <c r="E39" s="555" t="s">
        <v>561</v>
      </c>
      <c r="F39" s="556"/>
      <c r="G39" s="189"/>
      <c r="H39" s="193"/>
    </row>
    <row r="40" spans="2:8" ht="166.5" customHeight="1" x14ac:dyDescent="0.3">
      <c r="B40" s="213"/>
      <c r="C40" s="561"/>
      <c r="D40" s="215" t="s">
        <v>317</v>
      </c>
      <c r="E40" s="555" t="s">
        <v>326</v>
      </c>
      <c r="F40" s="556"/>
      <c r="G40" s="189"/>
      <c r="H40" s="193"/>
    </row>
    <row r="41" spans="2:8" ht="38.25" customHeight="1" x14ac:dyDescent="0.3">
      <c r="B41" s="213"/>
      <c r="C41" s="561" t="s">
        <v>36</v>
      </c>
      <c r="D41" s="216" t="s">
        <v>3</v>
      </c>
      <c r="E41" s="555" t="s">
        <v>318</v>
      </c>
      <c r="F41" s="556"/>
      <c r="G41" s="189"/>
      <c r="H41" s="193"/>
    </row>
    <row r="42" spans="2:8" ht="54.75" customHeight="1" x14ac:dyDescent="0.3">
      <c r="B42" s="213"/>
      <c r="C42" s="561"/>
      <c r="D42" s="216" t="s">
        <v>1</v>
      </c>
      <c r="E42" s="555" t="s">
        <v>319</v>
      </c>
      <c r="F42" s="556"/>
      <c r="G42" s="189"/>
      <c r="H42" s="193"/>
    </row>
    <row r="43" spans="2:8" ht="57.75" customHeight="1" x14ac:dyDescent="0.3">
      <c r="B43" s="213"/>
      <c r="C43" s="557" t="s">
        <v>562</v>
      </c>
      <c r="D43" s="558"/>
      <c r="E43" s="555" t="s">
        <v>308</v>
      </c>
      <c r="F43" s="556"/>
      <c r="G43" s="189"/>
      <c r="H43" s="193"/>
    </row>
    <row r="44" spans="2:8" ht="48.75" customHeight="1" x14ac:dyDescent="0.3">
      <c r="B44" s="213"/>
      <c r="C44" s="557" t="s">
        <v>320</v>
      </c>
      <c r="D44" s="558"/>
      <c r="E44" s="555" t="s">
        <v>563</v>
      </c>
      <c r="F44" s="556"/>
      <c r="G44" s="189"/>
      <c r="H44" s="193"/>
    </row>
    <row r="45" spans="2:8" ht="60.75" customHeight="1" x14ac:dyDescent="0.3">
      <c r="B45" s="213"/>
      <c r="C45" s="557" t="s">
        <v>587</v>
      </c>
      <c r="D45" s="558"/>
      <c r="E45" s="555" t="s">
        <v>321</v>
      </c>
      <c r="F45" s="556"/>
      <c r="G45" s="189"/>
      <c r="H45" s="193"/>
    </row>
    <row r="46" spans="2:8" ht="45.75" customHeight="1" x14ac:dyDescent="0.3">
      <c r="B46" s="213"/>
      <c r="C46" s="557" t="s">
        <v>322</v>
      </c>
      <c r="D46" s="558"/>
      <c r="E46" s="555" t="s">
        <v>323</v>
      </c>
      <c r="F46" s="556"/>
      <c r="G46" s="189"/>
      <c r="H46" s="193"/>
    </row>
    <row r="47" spans="2:8" ht="64.5" customHeight="1" thickBot="1" x14ac:dyDescent="0.35">
      <c r="B47" s="213"/>
      <c r="C47" s="564" t="s">
        <v>29</v>
      </c>
      <c r="D47" s="565"/>
      <c r="E47" s="562" t="s">
        <v>544</v>
      </c>
      <c r="F47" s="563"/>
      <c r="G47" s="189"/>
      <c r="H47" s="193"/>
    </row>
    <row r="48" spans="2:8" ht="17.25" thickTop="1" x14ac:dyDescent="0.3">
      <c r="B48" s="188"/>
      <c r="C48" s="194"/>
      <c r="D48" s="194"/>
      <c r="E48" s="195"/>
      <c r="F48" s="195"/>
      <c r="G48" s="189"/>
      <c r="H48" s="193"/>
    </row>
    <row r="49" spans="2:8" ht="21" hidden="1" customHeight="1" x14ac:dyDescent="0.25">
      <c r="B49" s="413" t="s">
        <v>581</v>
      </c>
      <c r="C49" s="414"/>
      <c r="D49" s="414"/>
      <c r="E49" s="414"/>
      <c r="F49" s="414"/>
      <c r="G49" s="414"/>
      <c r="H49" s="415"/>
    </row>
    <row r="50" spans="2:8" ht="20.25" hidden="1" customHeight="1" x14ac:dyDescent="0.25">
      <c r="B50" s="413" t="s">
        <v>582</v>
      </c>
      <c r="C50" s="414"/>
      <c r="D50" s="414"/>
      <c r="E50" s="414"/>
      <c r="F50" s="414"/>
      <c r="G50" s="414"/>
      <c r="H50" s="415"/>
    </row>
    <row r="51" spans="2:8" ht="20.25" hidden="1" customHeight="1" x14ac:dyDescent="0.25">
      <c r="B51" s="413" t="s">
        <v>583</v>
      </c>
      <c r="C51" s="414"/>
      <c r="D51" s="414"/>
      <c r="E51" s="414"/>
      <c r="F51" s="414"/>
      <c r="G51" s="414"/>
      <c r="H51" s="415"/>
    </row>
    <row r="52" spans="2:8" ht="20.25" hidden="1" customHeight="1" x14ac:dyDescent="0.25">
      <c r="B52" s="413" t="s">
        <v>584</v>
      </c>
      <c r="C52" s="414"/>
      <c r="D52" s="414"/>
      <c r="E52" s="414"/>
      <c r="F52" s="414"/>
      <c r="G52" s="414"/>
      <c r="H52" s="415"/>
    </row>
    <row r="53" spans="2:8" ht="16.5" hidden="1" x14ac:dyDescent="0.25">
      <c r="B53" s="413" t="s">
        <v>585</v>
      </c>
      <c r="C53" s="414"/>
      <c r="D53" s="414"/>
      <c r="E53" s="414"/>
      <c r="F53" s="414"/>
      <c r="G53" s="414"/>
      <c r="H53" s="415"/>
    </row>
    <row r="54" spans="2:8" ht="17.25" thickBot="1" x14ac:dyDescent="0.35">
      <c r="B54" s="196"/>
      <c r="C54" s="197"/>
      <c r="D54" s="197"/>
      <c r="E54" s="197"/>
      <c r="F54" s="197"/>
      <c r="G54" s="197"/>
      <c r="H54" s="198"/>
    </row>
  </sheetData>
  <mergeCells count="69">
    <mergeCell ref="B52:H52"/>
    <mergeCell ref="B53:H53"/>
    <mergeCell ref="B51:H51"/>
    <mergeCell ref="C41:C42"/>
    <mergeCell ref="E41:F41"/>
    <mergeCell ref="E42:F42"/>
    <mergeCell ref="C43:D43"/>
    <mergeCell ref="E43:F43"/>
    <mergeCell ref="B50:H50"/>
    <mergeCell ref="C44:D44"/>
    <mergeCell ref="E44:F44"/>
    <mergeCell ref="C45:D45"/>
    <mergeCell ref="E45:F45"/>
    <mergeCell ref="C46:D46"/>
    <mergeCell ref="E46:F46"/>
    <mergeCell ref="C47:D47"/>
    <mergeCell ref="E47:F47"/>
    <mergeCell ref="B49:H49"/>
    <mergeCell ref="C36:D36"/>
    <mergeCell ref="E36:F36"/>
    <mergeCell ref="C37:D37"/>
    <mergeCell ref="E37:F37"/>
    <mergeCell ref="C38:C40"/>
    <mergeCell ref="E38:F38"/>
    <mergeCell ref="E39:F39"/>
    <mergeCell ref="E40:F40"/>
    <mergeCell ref="C27:D27"/>
    <mergeCell ref="E27:F27"/>
    <mergeCell ref="C28:D28"/>
    <mergeCell ref="E28:F28"/>
    <mergeCell ref="C29:C35"/>
    <mergeCell ref="E29:F29"/>
    <mergeCell ref="E30:F30"/>
    <mergeCell ref="E31:F31"/>
    <mergeCell ref="E32:F32"/>
    <mergeCell ref="E33:F33"/>
    <mergeCell ref="E34:F34"/>
    <mergeCell ref="E35:F35"/>
    <mergeCell ref="E23:F23"/>
    <mergeCell ref="C24:C25"/>
    <mergeCell ref="E24:F24"/>
    <mergeCell ref="E25:F25"/>
    <mergeCell ref="C26:D26"/>
    <mergeCell ref="E26:F26"/>
    <mergeCell ref="C20:D20"/>
    <mergeCell ref="E20:F20"/>
    <mergeCell ref="C21:D21"/>
    <mergeCell ref="E21:F21"/>
    <mergeCell ref="C22:D22"/>
    <mergeCell ref="E22:F22"/>
    <mergeCell ref="C17:D17"/>
    <mergeCell ref="E17:F17"/>
    <mergeCell ref="C18:D18"/>
    <mergeCell ref="E18:F18"/>
    <mergeCell ref="C19:D19"/>
    <mergeCell ref="E19:F19"/>
    <mergeCell ref="B14:H15"/>
    <mergeCell ref="A1:B3"/>
    <mergeCell ref="C1:H1"/>
    <mergeCell ref="C2:H2"/>
    <mergeCell ref="C3:F3"/>
    <mergeCell ref="G3:H3"/>
    <mergeCell ref="B5:H5"/>
    <mergeCell ref="B6:H6"/>
    <mergeCell ref="B7:H7"/>
    <mergeCell ref="B8:H8"/>
    <mergeCell ref="B9:H9"/>
    <mergeCell ref="C10:F10"/>
    <mergeCell ref="B13:H1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X59"/>
  <sheetViews>
    <sheetView topLeftCell="A13" zoomScale="60" zoomScaleNormal="60" workbookViewId="0">
      <selection activeCell="A14" sqref="A14"/>
    </sheetView>
  </sheetViews>
  <sheetFormatPr baseColWidth="10" defaultColWidth="11.42578125" defaultRowHeight="16.5" x14ac:dyDescent="0.25"/>
  <cols>
    <col min="1" max="1" width="6.42578125" style="2" customWidth="1"/>
    <col min="2" max="2" width="19.28515625" style="2" hidden="1" customWidth="1"/>
    <col min="3" max="4" width="41.42578125" style="110" customWidth="1"/>
    <col min="5" max="5" width="51.85546875" style="2" customWidth="1"/>
    <col min="6" max="6" width="26.5703125" style="2" customWidth="1"/>
    <col min="7" max="7" width="81" style="318" customWidth="1"/>
    <col min="8" max="8" width="27.85546875" style="2" customWidth="1"/>
    <col min="9" max="9" width="27" style="2" customWidth="1"/>
    <col min="10" max="10" width="17.85546875" style="318" customWidth="1"/>
    <col min="11" max="11" width="16.5703125" style="318" customWidth="1"/>
    <col min="12" max="12" width="6.28515625" style="318" customWidth="1"/>
    <col min="13" max="13" width="17.5703125" style="318" customWidth="1"/>
    <col min="14" max="14" width="18" style="318" customWidth="1"/>
    <col min="15" max="15" width="8.85546875" style="318" customWidth="1"/>
    <col min="16" max="16" width="16" style="318" customWidth="1"/>
    <col min="17" max="17" width="5.85546875" style="318" customWidth="1"/>
    <col min="18" max="18" width="77.28515625" style="318" customWidth="1"/>
    <col min="19" max="19" width="14.7109375" style="2" customWidth="1"/>
    <col min="20" max="20" width="50.28515625" style="2" customWidth="1"/>
    <col min="21" max="21" width="15.140625" style="318" customWidth="1"/>
    <col min="22" max="22" width="6.85546875" style="318" customWidth="1"/>
    <col min="23" max="23" width="5" style="318" customWidth="1"/>
    <col min="24" max="24" width="5.5703125" style="318" customWidth="1"/>
    <col min="25" max="25" width="7.140625" style="318" customWidth="1"/>
    <col min="26" max="26" width="6.7109375" style="318" customWidth="1"/>
    <col min="27" max="27" width="7.5703125" style="318" customWidth="1"/>
    <col min="28" max="28" width="11.140625" style="318" customWidth="1"/>
    <col min="29" max="29" width="8.7109375" style="318" customWidth="1"/>
    <col min="30" max="30" width="8.85546875" style="318" customWidth="1"/>
    <col min="31" max="31" width="9.28515625" style="318" customWidth="1"/>
    <col min="32" max="32" width="7.85546875" style="318" customWidth="1"/>
    <col min="33" max="33" width="8.28515625" style="318" customWidth="1"/>
    <col min="34" max="37" width="7.28515625" style="318" customWidth="1"/>
    <col min="38" max="38" width="7.5703125" style="318" customWidth="1"/>
    <col min="39" max="39" width="20.85546875" style="318" hidden="1" customWidth="1"/>
    <col min="40" max="40" width="23.42578125" style="318" hidden="1" customWidth="1"/>
    <col min="41" max="41" width="22" style="318" hidden="1" customWidth="1"/>
    <col min="42" max="42" width="18.85546875" style="317" customWidth="1"/>
    <col min="43" max="43" width="18.5703125" style="317" customWidth="1"/>
    <col min="44" max="44" width="21" style="317" customWidth="1"/>
    <col min="45" max="96" width="11.42578125" style="317"/>
    <col min="97" max="16384" width="11.42578125" style="318"/>
  </cols>
  <sheetData>
    <row r="1" spans="1:102" ht="73.5" customHeight="1" x14ac:dyDescent="0.25">
      <c r="A1" s="566" t="s">
        <v>1049</v>
      </c>
      <c r="B1" s="567"/>
      <c r="C1" s="567"/>
      <c r="D1" s="567"/>
      <c r="E1" s="567"/>
      <c r="F1" s="567"/>
      <c r="G1" s="567"/>
      <c r="H1" s="567"/>
      <c r="I1" s="567"/>
      <c r="J1" s="567"/>
      <c r="K1" s="567"/>
      <c r="L1" s="567"/>
      <c r="M1" s="567"/>
      <c r="N1" s="567"/>
      <c r="O1" s="567"/>
      <c r="P1" s="567"/>
      <c r="Q1" s="567"/>
      <c r="R1" s="567"/>
      <c r="S1" s="567"/>
      <c r="T1" s="567"/>
      <c r="U1" s="567"/>
      <c r="V1" s="567"/>
      <c r="W1" s="567"/>
      <c r="X1" s="567"/>
      <c r="Y1" s="567"/>
      <c r="Z1" s="567"/>
      <c r="AA1" s="567"/>
      <c r="AB1" s="567"/>
      <c r="AC1" s="567"/>
      <c r="AD1" s="567"/>
      <c r="AE1" s="567"/>
      <c r="AF1" s="567"/>
      <c r="AG1" s="567"/>
      <c r="AH1" s="567"/>
      <c r="AI1" s="567"/>
      <c r="AJ1" s="567"/>
      <c r="AK1" s="567"/>
      <c r="AL1" s="567"/>
      <c r="AM1" s="567"/>
      <c r="AN1" s="567"/>
      <c r="AO1" s="567"/>
    </row>
    <row r="2" spans="1:102" ht="34.5" customHeight="1" thickBot="1" x14ac:dyDescent="0.3">
      <c r="A2" s="568" t="s">
        <v>186</v>
      </c>
      <c r="B2" s="569"/>
      <c r="C2" s="569"/>
      <c r="D2" s="569"/>
      <c r="E2" s="569"/>
      <c r="F2" s="569"/>
      <c r="G2" s="569"/>
      <c r="H2" s="569"/>
      <c r="I2" s="569"/>
      <c r="J2" s="570"/>
      <c r="K2" s="439" t="s">
        <v>266</v>
      </c>
      <c r="L2" s="440"/>
      <c r="M2" s="440"/>
      <c r="N2" s="440"/>
      <c r="O2" s="440"/>
      <c r="P2" s="441"/>
      <c r="Q2" s="439" t="s">
        <v>265</v>
      </c>
      <c r="R2" s="440"/>
      <c r="S2" s="440"/>
      <c r="T2" s="440"/>
      <c r="U2" s="440"/>
      <c r="V2" s="440"/>
      <c r="W2" s="440"/>
      <c r="X2" s="440"/>
      <c r="Y2" s="440"/>
      <c r="Z2" s="440"/>
      <c r="AA2" s="441"/>
      <c r="AB2" s="439" t="s">
        <v>264</v>
      </c>
      <c r="AC2" s="440"/>
      <c r="AD2" s="440"/>
      <c r="AE2" s="440"/>
      <c r="AF2" s="440"/>
      <c r="AG2" s="440"/>
      <c r="AH2" s="441"/>
      <c r="AI2" s="439" t="s">
        <v>668</v>
      </c>
      <c r="AJ2" s="440"/>
      <c r="AK2" s="440"/>
      <c r="AL2" s="440"/>
      <c r="AM2" s="571" t="s">
        <v>842</v>
      </c>
      <c r="AN2" s="572"/>
      <c r="AO2" s="572"/>
    </row>
    <row r="3" spans="1:102" ht="33.75" customHeight="1" thickBot="1" x14ac:dyDescent="0.3">
      <c r="A3" s="442" t="s">
        <v>614</v>
      </c>
      <c r="B3" s="442" t="s">
        <v>752</v>
      </c>
      <c r="C3" s="442" t="s">
        <v>615</v>
      </c>
      <c r="D3" s="442" t="s">
        <v>616</v>
      </c>
      <c r="E3" s="473" t="s">
        <v>625</v>
      </c>
      <c r="F3" s="474"/>
      <c r="G3" s="442" t="s">
        <v>184</v>
      </c>
      <c r="H3" s="442" t="s">
        <v>257</v>
      </c>
      <c r="I3" s="442" t="s">
        <v>666</v>
      </c>
      <c r="J3" s="442" t="s">
        <v>263</v>
      </c>
      <c r="K3" s="445" t="s">
        <v>262</v>
      </c>
      <c r="L3" s="445" t="s">
        <v>4</v>
      </c>
      <c r="M3" s="445" t="s">
        <v>679</v>
      </c>
      <c r="N3" s="445" t="s">
        <v>192</v>
      </c>
      <c r="O3" s="289"/>
      <c r="P3" s="445" t="s">
        <v>259</v>
      </c>
      <c r="Q3" s="485" t="s">
        <v>10</v>
      </c>
      <c r="R3" s="479" t="s">
        <v>258</v>
      </c>
      <c r="S3" s="479" t="s">
        <v>667</v>
      </c>
      <c r="T3" s="479" t="s">
        <v>676</v>
      </c>
      <c r="U3" s="479" t="s">
        <v>11</v>
      </c>
      <c r="V3" s="420" t="s">
        <v>7</v>
      </c>
      <c r="W3" s="421"/>
      <c r="X3" s="422"/>
      <c r="Y3" s="421"/>
      <c r="Z3" s="421"/>
      <c r="AA3" s="423"/>
      <c r="AB3" s="424" t="s">
        <v>110</v>
      </c>
      <c r="AC3" s="427" t="s">
        <v>33</v>
      </c>
      <c r="AD3" s="427" t="s">
        <v>4</v>
      </c>
      <c r="AE3" s="427" t="s">
        <v>34</v>
      </c>
      <c r="AF3" s="427" t="s">
        <v>4</v>
      </c>
      <c r="AG3" s="579" t="s">
        <v>674</v>
      </c>
      <c r="AH3" s="460" t="s">
        <v>25</v>
      </c>
      <c r="AI3" s="454" t="s">
        <v>669</v>
      </c>
      <c r="AJ3" s="454" t="s">
        <v>790</v>
      </c>
      <c r="AK3" s="454" t="s">
        <v>791</v>
      </c>
      <c r="AL3" s="454" t="s">
        <v>792</v>
      </c>
      <c r="AM3" s="573" t="s">
        <v>843</v>
      </c>
      <c r="AN3" s="576" t="s">
        <v>844</v>
      </c>
      <c r="AO3" s="573" t="s">
        <v>845</v>
      </c>
    </row>
    <row r="4" spans="1:102" ht="21" customHeight="1" thickBot="1" x14ac:dyDescent="0.3">
      <c r="A4" s="443"/>
      <c r="B4" s="443"/>
      <c r="C4" s="443"/>
      <c r="D4" s="443"/>
      <c r="E4" s="475"/>
      <c r="F4" s="476"/>
      <c r="G4" s="443"/>
      <c r="H4" s="443"/>
      <c r="I4" s="443"/>
      <c r="J4" s="443"/>
      <c r="K4" s="446"/>
      <c r="L4" s="446"/>
      <c r="M4" s="446"/>
      <c r="N4" s="446"/>
      <c r="O4" s="290"/>
      <c r="P4" s="446"/>
      <c r="Q4" s="486"/>
      <c r="R4" s="480"/>
      <c r="S4" s="480"/>
      <c r="T4" s="480"/>
      <c r="U4" s="480"/>
      <c r="V4" s="468" t="s">
        <v>12</v>
      </c>
      <c r="W4" s="468" t="s">
        <v>16</v>
      </c>
      <c r="X4" s="468" t="s">
        <v>24</v>
      </c>
      <c r="Y4" s="468" t="s">
        <v>17</v>
      </c>
      <c r="Z4" s="468" t="s">
        <v>20</v>
      </c>
      <c r="AA4" s="471" t="s">
        <v>23</v>
      </c>
      <c r="AB4" s="425"/>
      <c r="AC4" s="428"/>
      <c r="AD4" s="428"/>
      <c r="AE4" s="428"/>
      <c r="AF4" s="428"/>
      <c r="AG4" s="428"/>
      <c r="AH4" s="461"/>
      <c r="AI4" s="455"/>
      <c r="AJ4" s="455"/>
      <c r="AK4" s="455"/>
      <c r="AL4" s="455"/>
      <c r="AM4" s="574"/>
      <c r="AN4" s="577"/>
      <c r="AO4" s="574"/>
    </row>
    <row r="5" spans="1:102" ht="33.6" customHeight="1" x14ac:dyDescent="0.25">
      <c r="A5" s="443"/>
      <c r="B5" s="443"/>
      <c r="C5" s="443"/>
      <c r="D5" s="443"/>
      <c r="E5" s="442" t="s">
        <v>664</v>
      </c>
      <c r="F5" s="477" t="s">
        <v>665</v>
      </c>
      <c r="G5" s="443"/>
      <c r="H5" s="443"/>
      <c r="I5" s="443"/>
      <c r="J5" s="443"/>
      <c r="K5" s="446"/>
      <c r="L5" s="446"/>
      <c r="M5" s="446"/>
      <c r="N5" s="446"/>
      <c r="O5" s="290"/>
      <c r="P5" s="446"/>
      <c r="Q5" s="486"/>
      <c r="R5" s="480"/>
      <c r="S5" s="480"/>
      <c r="T5" s="480"/>
      <c r="U5" s="480"/>
      <c r="V5" s="469"/>
      <c r="W5" s="469"/>
      <c r="X5" s="469"/>
      <c r="Y5" s="469"/>
      <c r="Z5" s="469"/>
      <c r="AA5" s="471"/>
      <c r="AB5" s="425"/>
      <c r="AC5" s="428"/>
      <c r="AD5" s="428"/>
      <c r="AE5" s="428"/>
      <c r="AF5" s="428"/>
      <c r="AG5" s="428"/>
      <c r="AH5" s="461"/>
      <c r="AI5" s="455"/>
      <c r="AJ5" s="455"/>
      <c r="AK5" s="455"/>
      <c r="AL5" s="455"/>
      <c r="AM5" s="574"/>
      <c r="AN5" s="577"/>
      <c r="AO5" s="574"/>
    </row>
    <row r="6" spans="1:102" s="16" customFormat="1" ht="52.15" customHeight="1" thickBot="1" x14ac:dyDescent="0.3">
      <c r="A6" s="444"/>
      <c r="B6" s="444"/>
      <c r="C6" s="444"/>
      <c r="D6" s="444"/>
      <c r="E6" s="444"/>
      <c r="F6" s="478"/>
      <c r="G6" s="444"/>
      <c r="H6" s="444"/>
      <c r="I6" s="444"/>
      <c r="J6" s="444"/>
      <c r="K6" s="447"/>
      <c r="L6" s="447"/>
      <c r="M6" s="447"/>
      <c r="N6" s="447"/>
      <c r="O6" s="291" t="s">
        <v>4</v>
      </c>
      <c r="P6" s="447"/>
      <c r="Q6" s="487"/>
      <c r="R6" s="481"/>
      <c r="S6" s="481"/>
      <c r="T6" s="481"/>
      <c r="U6" s="481"/>
      <c r="V6" s="470"/>
      <c r="W6" s="470"/>
      <c r="X6" s="470"/>
      <c r="Y6" s="470"/>
      <c r="Z6" s="470"/>
      <c r="AA6" s="472"/>
      <c r="AB6" s="426"/>
      <c r="AC6" s="429"/>
      <c r="AD6" s="429"/>
      <c r="AE6" s="429"/>
      <c r="AF6" s="429"/>
      <c r="AG6" s="429"/>
      <c r="AH6" s="462"/>
      <c r="AI6" s="456"/>
      <c r="AJ6" s="456"/>
      <c r="AK6" s="456"/>
      <c r="AL6" s="456"/>
      <c r="AM6" s="575"/>
      <c r="AN6" s="578"/>
      <c r="AO6" s="575"/>
    </row>
    <row r="7" spans="1:102" s="320" customFormat="1" ht="199.5" x14ac:dyDescent="0.25">
      <c r="A7" s="516" t="s">
        <v>675</v>
      </c>
      <c r="B7" s="499" t="s">
        <v>753</v>
      </c>
      <c r="C7" s="517" t="s">
        <v>595</v>
      </c>
      <c r="D7" s="518" t="s">
        <v>624</v>
      </c>
      <c r="E7" s="519" t="s">
        <v>891</v>
      </c>
      <c r="F7" s="519" t="s">
        <v>889</v>
      </c>
      <c r="G7" s="519" t="s">
        <v>892</v>
      </c>
      <c r="H7" s="521" t="s">
        <v>233</v>
      </c>
      <c r="I7" s="521" t="s">
        <v>890</v>
      </c>
      <c r="J7" s="508">
        <v>237528</v>
      </c>
      <c r="K7" s="515" t="str">
        <f t="shared" ref="K7" si="0">IF(J7&lt;=0,"",IF(J7&lt;=2,"Muy Baja",IF(J7&lt;=24,"Baja",IF(J7&lt;=500,"Media",IF(J7&lt;=5000,"Alta","Muy Alta")))))</f>
        <v>Muy Alta</v>
      </c>
      <c r="L7" s="505">
        <f>IF(K7="","",IF(K7="Muy Baja",0.2,IF(K7="Baja",0.4,IF(K7="Media",0.6,IF(K7="Alta",0.8,IF(K7="Muy Alta",1,))))))</f>
        <v>1</v>
      </c>
      <c r="M7" s="515">
        <v>5</v>
      </c>
      <c r="N7" s="505" t="str">
        <f>IF(M7=1,"INSIGNIFICANTE",IF(M7=2,"Menor",IF(M7=3,"Moderado",IF(M7=4,"Mayor",IF(M7=5,"Catastrófico",IF(M7=""," "))))))</f>
        <v>Catastrófico</v>
      </c>
      <c r="O7" s="505">
        <f>IF(N7="","",IF(N7="Leve",0.2,IF(N7="Menor",0.4,IF(N7="Moderado",0.6,IF(N7="Mayor",0.8,IF(N7="Catastrófico",1,))))))</f>
        <v>1</v>
      </c>
      <c r="P7" s="580" t="str">
        <f>IF(OR(AND(K7="Muy Baja",N7="Leve"),AND(K7="Muy Baja",K7="Menor"),AND(K7="Baja",N7="Leve")),"Bajo",IF(OR(AND(K7="Muy baja",N7="Moderado"),AND(K7="Baja",N7="Menor"),AND(K7="Baja",N7="Moderado"),AND(K7="Media",N7="Leve"),AND(K7="Media",N7="Menor"),AND(K7="Media",N7="Moderado"),AND(K7="Alta",N7="Leve"),AND(K7="Alta",N7="Menor")),"Moderado",IF(OR(AND(K7="Muy Baja",N7="Mayor"),AND(K7="Baja",N7="Mayor"),AND(K7="Media",N7="Mayor"),AND(K7="Alta",N7="Moderado"),AND(K7="Alta",N7="Mayor"),AND(K7="Muy Alta",N7="Leve"),AND(K7="Muy Alta",N7="Menor"),AND(K7="Muy Alta",N7="Moderado"),AND(K7="Muy Alta",N7="Mayor")),"Alto",IF(OR(AND(K7="Muy Baja",N7="Catastrófico"),AND(K7="Baja",N7="Catastrófico"),AND(K7="Media",N7="Catastrófico"),AND(K7="Alta",N7="Catastrófico"),AND(K7="Muy Alta",N7="Catastrófico")),"Extremo",""))))</f>
        <v>Extremo</v>
      </c>
      <c r="Q7" s="308">
        <v>1</v>
      </c>
      <c r="R7" s="306" t="s">
        <v>895</v>
      </c>
      <c r="S7" s="309" t="s">
        <v>293</v>
      </c>
      <c r="T7" s="309" t="s">
        <v>893</v>
      </c>
      <c r="U7" s="310" t="str">
        <f t="shared" ref="U7:U32" si="1">IF(OR(V7="Preventivo",V7="Detectivo"),"Probabilidad",IF(V7="Correctivo","Impacto",""))</f>
        <v>Probabilidad</v>
      </c>
      <c r="V7" s="311" t="s">
        <v>13</v>
      </c>
      <c r="W7" s="311" t="s">
        <v>8</v>
      </c>
      <c r="X7" s="312" t="str">
        <f>IF(AND(V7="Preventivo",W7="Automático"),"50%",IF(AND(V7="Preventivo",W7="Manual"),"40%",IF(AND(V7="Detectivo",W7="Automático"),"40%",IF(AND(V7="Detectivo",W7="Manual"),"30%",IF(AND(V7="Correctivo",W7="Automático"),"35%",IF(AND(V7="Correctivo",W7="Manual"),"25%",""))))))</f>
        <v>40%</v>
      </c>
      <c r="Y7" s="311" t="s">
        <v>18</v>
      </c>
      <c r="Z7" s="311" t="s">
        <v>21</v>
      </c>
      <c r="AA7" s="311" t="s">
        <v>103</v>
      </c>
      <c r="AB7" s="313">
        <f>IFERROR(IF(U7="Probabilidad",(L7-(+L7*X7)),IF(U7="Impacto",L7,"")),"")</f>
        <v>0.6</v>
      </c>
      <c r="AC7" s="314" t="str">
        <f>IFERROR(IF(AB7="","",IF(AB7&lt;=0.2,"Muy Baja",IF(AB7&lt;=0.4,"Baja",IF(AB7&lt;=0.6,"Media",IF(AB7&lt;=0.8,"Alta","Muy Alta"))))),"")</f>
        <v>Media</v>
      </c>
      <c r="AD7" s="312">
        <f>+AB7</f>
        <v>0.6</v>
      </c>
      <c r="AE7" s="314" t="str">
        <f>IFERROR(IF(AF7="","",IF(AF7&lt;=0.2,"Leve",IF(AF7&lt;=0.4,"Menor",IF(AF7&lt;=0.6,"Moderado",IF(AF7&lt;=0.8,"Mayor","Catastrófico"))))),"")</f>
        <v>Catastrófico</v>
      </c>
      <c r="AF7" s="267">
        <f>IFERROR(IF(U7="Impacto",(O7-(+O7*X7)),IF(U7="Probabilidad",O7,"")),"")</f>
        <v>1</v>
      </c>
      <c r="AG7" s="315" t="str">
        <f>IFERROR(IF(OR(AND(AC7="Muy Baja",AE7="Leve"),AND(AC7="Muy Baja",AE7="Menor"),AND(AC7="Baja",AE7="Leve")),"Bajo",IF(OR(AND(AC7="Muy baja",AE7="Moderado"),AND(AC7="Baja",AE7="Menor"),AND(AC7="Baja",AE7="Moderado"),AND(AC7="Media",AE7="Leve"),AND(AC7="Media",AE7="Menor"),AND(AC7="Media",AE7="Moderado"),AND(AC7="Alta",AE7="Leve"),AND(AC7="Alta",AE7="Menor")),"Moderado",IF(OR(AND(AC7="Muy Baja",AE7="Mayor"),AND(AC7="Baja",AE7="Mayor"),AND(AC7="Media",AE7="Mayor"),AND(AC7="Alta",AE7="Moderado"),AND(AC7="Alta",AE7="Mayor"),AND(AC7="Muy Alta",AE7="Leve"),AND(AC7="Muy Alta",AE7="Menor"),AND(AC7="Muy Alta",AE7="Moderado"),AND(AC7="Muy Alta",AE7="Mayor")),"Alto",IF(OR(AND(AC7="Muy Baja",AE7="Catastrófico"),AND(AC7="Baja",AE7="Catastrófico"),AND(AC7="Media",AE7="Catastrófico"),AND(AC7="Alta",AE7="Catastrófico"),AND(AC7="Muy Alta",AE7="Catastrófico")),"Extremo","")))),"")</f>
        <v>Extremo</v>
      </c>
      <c r="AH7" s="311" t="s">
        <v>26</v>
      </c>
      <c r="AI7" s="310">
        <v>2</v>
      </c>
      <c r="AJ7" s="310">
        <v>0</v>
      </c>
      <c r="AK7" s="310">
        <v>1</v>
      </c>
      <c r="AL7" s="310">
        <v>1</v>
      </c>
      <c r="AM7" s="268"/>
      <c r="AN7" s="268"/>
      <c r="AO7" s="292"/>
      <c r="AP7" s="319"/>
      <c r="AQ7" s="319"/>
      <c r="AR7" s="319"/>
      <c r="AS7" s="319"/>
      <c r="AT7" s="319"/>
      <c r="AU7" s="319"/>
      <c r="AV7" s="319"/>
      <c r="AW7" s="319"/>
      <c r="AX7" s="319"/>
      <c r="AY7" s="319"/>
      <c r="AZ7" s="319"/>
      <c r="BA7" s="319"/>
      <c r="BB7" s="319"/>
      <c r="BC7" s="319"/>
      <c r="BD7" s="319"/>
      <c r="BE7" s="319"/>
      <c r="BF7" s="319"/>
      <c r="BG7" s="319"/>
      <c r="BH7" s="319"/>
      <c r="BI7" s="319"/>
      <c r="BJ7" s="319"/>
      <c r="BK7" s="319"/>
      <c r="BL7" s="319"/>
      <c r="BM7" s="319"/>
      <c r="BN7" s="319"/>
      <c r="BO7" s="319"/>
      <c r="BP7" s="319"/>
      <c r="BQ7" s="319"/>
      <c r="BR7" s="319"/>
      <c r="BS7" s="319"/>
      <c r="BT7" s="319"/>
      <c r="BU7" s="319"/>
      <c r="BV7" s="319"/>
      <c r="BW7" s="319"/>
      <c r="BX7" s="319"/>
      <c r="BY7" s="319"/>
      <c r="BZ7" s="319"/>
      <c r="CA7" s="319"/>
      <c r="CB7" s="319"/>
      <c r="CC7" s="319"/>
      <c r="CD7" s="319"/>
      <c r="CE7" s="319"/>
      <c r="CF7" s="319"/>
      <c r="CG7" s="319"/>
      <c r="CH7" s="319"/>
      <c r="CI7" s="319"/>
      <c r="CJ7" s="319"/>
      <c r="CK7" s="319"/>
      <c r="CL7" s="319"/>
      <c r="CM7" s="319"/>
      <c r="CN7" s="319"/>
      <c r="CO7" s="319"/>
      <c r="CP7" s="319"/>
      <c r="CQ7" s="319"/>
      <c r="CR7" s="319"/>
    </row>
    <row r="8" spans="1:102" s="321" customFormat="1" ht="156" customHeight="1" x14ac:dyDescent="0.25">
      <c r="A8" s="463"/>
      <c r="B8" s="464"/>
      <c r="C8" s="465"/>
      <c r="D8" s="466"/>
      <c r="E8" s="467"/>
      <c r="F8" s="467"/>
      <c r="G8" s="467"/>
      <c r="H8" s="492"/>
      <c r="I8" s="492"/>
      <c r="J8" s="493"/>
      <c r="K8" s="490"/>
      <c r="L8" s="488"/>
      <c r="M8" s="490"/>
      <c r="N8" s="488"/>
      <c r="O8" s="488"/>
      <c r="P8" s="491"/>
      <c r="Q8" s="235">
        <v>2</v>
      </c>
      <c r="R8" s="306" t="s">
        <v>894</v>
      </c>
      <c r="S8" s="305" t="s">
        <v>293</v>
      </c>
      <c r="T8" s="305" t="s">
        <v>839</v>
      </c>
      <c r="U8" s="307" t="str">
        <f t="shared" si="1"/>
        <v>Probabilidad</v>
      </c>
      <c r="V8" s="259" t="s">
        <v>13</v>
      </c>
      <c r="W8" s="259" t="s">
        <v>8</v>
      </c>
      <c r="X8" s="260" t="str">
        <f t="shared" ref="X8" si="2">IF(AND(V8="Preventivo",W8="Automático"),"50%",IF(AND(V8="Preventivo",W8="Manual"),"40%",IF(AND(V8="Detectivo",W8="Automático"),"40%",IF(AND(V8="Detectivo",W8="Manual"),"30%",IF(AND(V8="Correctivo",W8="Automático"),"35%",IF(AND(V8="Correctivo",W8="Manual"),"25%",""))))))</f>
        <v>40%</v>
      </c>
      <c r="Y8" s="259" t="s">
        <v>18</v>
      </c>
      <c r="Z8" s="259" t="s">
        <v>21</v>
      </c>
      <c r="AA8" s="259" t="s">
        <v>103</v>
      </c>
      <c r="AB8" s="261">
        <f>IFERROR(IF(AND(U7="Probabilidad",U8="Probabilidad"),(AD7-(+AD7*X8)),IF(U8="Probabilidad",(L7-(+L7*X8)),IF(U8="Impacto",AD7,""))),"")</f>
        <v>0.36</v>
      </c>
      <c r="AC8" s="262" t="str">
        <f>IFERROR(IF(AB8="","",IF(AB8&lt;=0.2,"Muy Baja",IF(AB8&lt;=0.4,"Baja",IF(AB8&lt;=0.6,"Media",IF(AB8&lt;=0.8,"Alta","Muy Alta"))))),"")</f>
        <v>Baja</v>
      </c>
      <c r="AD8" s="260">
        <f t="shared" ref="AD8" si="3">+AB8</f>
        <v>0.36</v>
      </c>
      <c r="AE8" s="262" t="str">
        <f>IFERROR(IF(AF8="","",IF(AF8&lt;=0.2,"Leve",IF(AF8&lt;=0.4,"Menor",IF(AF8&lt;=0.6,"Moderado",IF(AF8&lt;=0.8,"Mayor","Catastrófico"))))),"")</f>
        <v>Catastrófico</v>
      </c>
      <c r="AF8" s="260">
        <f>IFERROR(IF(AND(U7="Impacto",U8="Impacto"),(AF7-(+AF7*X8)),IF(U8="Impacto",($O$7-(+$O$7*X8)),IF(U8="Probabilidad",AF7,""))),"")</f>
        <v>1</v>
      </c>
      <c r="AG8" s="264" t="str">
        <f t="shared" ref="AG8" si="4">IFERROR(IF(OR(AND(AC8="Muy Baja",AE8="Leve"),AND(AC8="Muy Baja",AE8="Menor"),AND(AC8="Baja",AE8="Leve")),"Bajo",IF(OR(AND(AC8="Muy baja",AE8="Moderado"),AND(AC8="Baja",AE8="Menor"),AND(AC8="Baja",AE8="Moderado"),AND(AC8="Media",AE8="Leve"),AND(AC8="Media",AE8="Menor"),AND(AC8="Media",AE8="Moderado"),AND(AC8="Alta",AE8="Leve"),AND(AC8="Alta",AE8="Menor")),"Moderado",IF(OR(AND(AC8="Muy Baja",AE8="Mayor"),AND(AC8="Baja",AE8="Mayor"),AND(AC8="Media",AE8="Mayor"),AND(AC8="Alta",AE8="Moderado"),AND(AC8="Alta",AE8="Mayor"),AND(AC8="Muy Alta",AE8="Leve"),AND(AC8="Muy Alta",AE8="Menor"),AND(AC8="Muy Alta",AE8="Moderado"),AND(AC8="Muy Alta",AE8="Mayor")),"Alto",IF(OR(AND(AC8="Muy Baja",AE8="Catastrófico"),AND(AC8="Baja",AE8="Catastrófico"),AND(AC8="Media",AE8="Catastrófico"),AND(AC8="Alta",AE8="Catastrófico"),AND(AC8="Muy Alta",AE8="Catastrófico")),"Extremo","")))),"")</f>
        <v>Extremo</v>
      </c>
      <c r="AH8" s="259" t="s">
        <v>26</v>
      </c>
      <c r="AI8" s="307">
        <v>4</v>
      </c>
      <c r="AJ8" s="307">
        <v>1</v>
      </c>
      <c r="AK8" s="307">
        <v>1</v>
      </c>
      <c r="AL8" s="307">
        <v>2</v>
      </c>
      <c r="AM8" s="246"/>
      <c r="AN8" s="246"/>
      <c r="AO8" s="245"/>
      <c r="AP8" s="319"/>
      <c r="AQ8" s="319"/>
      <c r="AR8" s="319"/>
      <c r="AS8" s="319"/>
      <c r="AT8" s="319"/>
      <c r="AU8" s="319"/>
      <c r="AV8" s="319"/>
      <c r="AW8" s="319"/>
      <c r="AX8" s="319"/>
      <c r="AY8" s="319"/>
      <c r="AZ8" s="319"/>
      <c r="BA8" s="319"/>
      <c r="BB8" s="319"/>
      <c r="BC8" s="319"/>
      <c r="BD8" s="319"/>
      <c r="BE8" s="319"/>
      <c r="BF8" s="319"/>
      <c r="BG8" s="319"/>
      <c r="BH8" s="319"/>
      <c r="BI8" s="319"/>
      <c r="BJ8" s="319"/>
      <c r="BK8" s="319"/>
      <c r="BL8" s="319"/>
      <c r="BM8" s="319"/>
      <c r="BN8" s="319"/>
      <c r="BO8" s="319"/>
      <c r="BP8" s="319"/>
      <c r="BQ8" s="319"/>
      <c r="BR8" s="319"/>
      <c r="BS8" s="319"/>
      <c r="BT8" s="319"/>
      <c r="BU8" s="319"/>
      <c r="BV8" s="319"/>
      <c r="BW8" s="319"/>
      <c r="BX8" s="319"/>
      <c r="BY8" s="319"/>
      <c r="BZ8" s="319"/>
      <c r="CA8" s="319"/>
      <c r="CB8" s="319"/>
      <c r="CC8" s="319"/>
      <c r="CD8" s="319"/>
      <c r="CE8" s="319"/>
      <c r="CF8" s="319"/>
      <c r="CG8" s="319"/>
      <c r="CH8" s="319"/>
      <c r="CI8" s="319"/>
      <c r="CJ8" s="319"/>
      <c r="CK8" s="319"/>
      <c r="CL8" s="319"/>
      <c r="CM8" s="319"/>
      <c r="CN8" s="319"/>
      <c r="CO8" s="319"/>
      <c r="CP8" s="319"/>
      <c r="CQ8" s="319"/>
      <c r="CR8" s="319"/>
    </row>
    <row r="9" spans="1:102" s="320" customFormat="1" ht="169.9" customHeight="1" x14ac:dyDescent="0.25">
      <c r="A9" s="281" t="s">
        <v>793</v>
      </c>
      <c r="B9" s="282" t="s">
        <v>753</v>
      </c>
      <c r="C9" s="211" t="s">
        <v>698</v>
      </c>
      <c r="D9" s="244" t="s">
        <v>622</v>
      </c>
      <c r="E9" s="306" t="s">
        <v>870</v>
      </c>
      <c r="F9" s="306" t="s">
        <v>673</v>
      </c>
      <c r="G9" s="306" t="s">
        <v>794</v>
      </c>
      <c r="H9" s="245" t="s">
        <v>233</v>
      </c>
      <c r="I9" s="245" t="s">
        <v>729</v>
      </c>
      <c r="J9" s="247">
        <v>30</v>
      </c>
      <c r="K9" s="284" t="str">
        <f t="shared" ref="K9" si="5">IF(J9&lt;=0,"",IF(J9&lt;=2,"Muy Baja",IF(J9&lt;=24,"Baja",IF(J9&lt;=500,"Media",IF(J9&lt;=5000,"Alta","Muy Alta")))))</f>
        <v>Media</v>
      </c>
      <c r="L9" s="248">
        <f>IF(K9="","",IF(K9="Muy Baja",0.2,IF(K9="Baja",0.4,IF(K9="Media",0.6,IF(K9="Alta",0.8,IF(K9="Muy Alta",1,))))))</f>
        <v>0.6</v>
      </c>
      <c r="M9" s="284">
        <v>5</v>
      </c>
      <c r="N9" s="248" t="str">
        <f>IF(M9=1,"INSIGNIFICANTE",IF(M9=2,"Menor",IF(M9=3,"Moderado",IF(M9=4,"Mayor",IF(M9=5,"Catastrófico",IF(M9=""," "))))))</f>
        <v>Catastrófico</v>
      </c>
      <c r="O9" s="248">
        <f>IF(N9="","",IF(N9="Leve",0.2,IF(N9="Menor",0.4,IF(N9="Moderado",0.6,IF(N9="Mayor",0.8,IF(N9="Catastrófico",1,))))))</f>
        <v>1</v>
      </c>
      <c r="P9" s="280" t="str">
        <f>IF(OR(AND(K9="Muy Baja",N9="Leve"),AND(K9="Muy Baja",K9="Menor"),AND(K9="Baja",N9="Leve")),"Bajo",IF(OR(AND(K9="Muy baja",N9="Moderado"),AND(K9="Baja",N9="Menor"),AND(K9="Baja",N9="Moderado"),AND(K9="Media",N9="Leve"),AND(K9="Media",N9="Menor"),AND(K9="Media",N9="Moderado"),AND(K9="Alta",N9="Leve"),AND(K9="Alta",N9="Menor")),"Moderado",IF(OR(AND(K9="Muy Baja",N9="Mayor"),AND(K9="Baja",N9="Mayor"),AND(K9="Media",N9="Mayor"),AND(K9="Alta",N9="Moderado"),AND(K9="Alta",N9="Mayor"),AND(K9="Muy Alta",N9="Leve"),AND(K9="Muy Alta",N9="Menor"),AND(K9="Muy Alta",N9="Moderado"),AND(K9="Muy Alta",N9="Mayor")),"Alto",IF(OR(AND(K9="Muy Baja",N9="Catastrófico"),AND(K9="Baja",N9="Catastrófico"),AND(K9="Media",N9="Catastrófico"),AND(K9="Alta",N9="Catastrófico"),AND(K9="Muy Alta",N9="Catastrófico")),"Extremo",""))))</f>
        <v>Extremo</v>
      </c>
      <c r="Q9" s="235">
        <v>1</v>
      </c>
      <c r="R9" s="322" t="s">
        <v>871</v>
      </c>
      <c r="S9" s="305" t="s">
        <v>293</v>
      </c>
      <c r="T9" s="305" t="s">
        <v>795</v>
      </c>
      <c r="U9" s="307" t="str">
        <f t="shared" si="1"/>
        <v>Probabilidad</v>
      </c>
      <c r="V9" s="259" t="s">
        <v>13</v>
      </c>
      <c r="W9" s="259" t="s">
        <v>8</v>
      </c>
      <c r="X9" s="260" t="str">
        <f>IF(AND(V9="Preventivo",W9="Automático"),"50%",IF(AND(V9="Preventivo",W9="Manual"),"40%",IF(AND(V9="Detectivo",W9="Automático"),"40%",IF(AND(V9="Detectivo",W9="Manual"),"30%",IF(AND(V9="Correctivo",W9="Automático"),"35%",IF(AND(V9="Correctivo",W9="Manual"),"25%",""))))))</f>
        <v>40%</v>
      </c>
      <c r="Y9" s="259" t="s">
        <v>18</v>
      </c>
      <c r="Z9" s="259" t="s">
        <v>21</v>
      </c>
      <c r="AA9" s="259" t="s">
        <v>103</v>
      </c>
      <c r="AB9" s="261">
        <f>IFERROR(IF(U9="Probabilidad",(L9-(+L9*X9)),IF(U9="Impacto",L9,"")),"")</f>
        <v>0.36</v>
      </c>
      <c r="AC9" s="262" t="str">
        <f>IFERROR(IF(AB9="","",IF(AB9&lt;=0.2,"Muy Baja",IF(AB9&lt;=0.4,"Baja",IF(AB9&lt;=0.6,"Media",IF(AB9&lt;=0.8,"Alta","Muy Alta"))))),"")</f>
        <v>Baja</v>
      </c>
      <c r="AD9" s="260">
        <f>+AB9</f>
        <v>0.36</v>
      </c>
      <c r="AE9" s="262" t="str">
        <f>IFERROR(IF(AF9="","",IF(AF9&lt;=0.2,"Leve",IF(AF9&lt;=0.4,"Menor",IF(AF9&lt;=0.6,"Moderado",IF(AF9&lt;=0.8,"Mayor","Catastrófico"))))),"")</f>
        <v>Catastrófico</v>
      </c>
      <c r="AF9" s="263">
        <f>IFERROR(IF(U9="Impacto",(O9-(+O9*X9)),IF(U9="Probabilidad",O9,"")),"")</f>
        <v>1</v>
      </c>
      <c r="AG9" s="264" t="str">
        <f>IFERROR(IF(OR(AND(AC9="Muy Baja",AE9="Leve"),AND(AC9="Muy Baja",AE9="Menor"),AND(AC9="Baja",AE9="Leve")),"Bajo",IF(OR(AND(AC9="Muy baja",AE9="Moderado"),AND(AC9="Baja",AE9="Menor"),AND(AC9="Baja",AE9="Moderado"),AND(AC9="Media",AE9="Leve"),AND(AC9="Media",AE9="Menor"),AND(AC9="Media",AE9="Moderado"),AND(AC9="Alta",AE9="Leve"),AND(AC9="Alta",AE9="Menor")),"Moderado",IF(OR(AND(AC9="Muy Baja",AE9="Mayor"),AND(AC9="Baja",AE9="Mayor"),AND(AC9="Media",AE9="Mayor"),AND(AC9="Alta",AE9="Moderado"),AND(AC9="Alta",AE9="Mayor"),AND(AC9="Muy Alta",AE9="Leve"),AND(AC9="Muy Alta",AE9="Menor"),AND(AC9="Muy Alta",AE9="Moderado"),AND(AC9="Muy Alta",AE9="Mayor")),"Alto",IF(OR(AND(AC9="Muy Baja",AE9="Catastrófico"),AND(AC9="Baja",AE9="Catastrófico"),AND(AC9="Media",AE9="Catastrófico"),AND(AC9="Alta",AE9="Catastrófico"),AND(AC9="Muy Alta",AE9="Catastrófico")),"Extremo","")))),"")</f>
        <v>Extremo</v>
      </c>
      <c r="AH9" s="259" t="s">
        <v>26</v>
      </c>
      <c r="AI9" s="307">
        <v>3</v>
      </c>
      <c r="AJ9" s="307">
        <v>1</v>
      </c>
      <c r="AK9" s="307">
        <v>1</v>
      </c>
      <c r="AL9" s="307">
        <v>1</v>
      </c>
      <c r="AM9" s="268"/>
      <c r="AN9" s="268"/>
      <c r="AO9" s="292"/>
      <c r="AP9" s="319"/>
      <c r="AQ9" s="319"/>
      <c r="AR9" s="319"/>
      <c r="AS9" s="319"/>
      <c r="AT9" s="319"/>
      <c r="AU9" s="319"/>
      <c r="AV9" s="319"/>
      <c r="AW9" s="319"/>
      <c r="AX9" s="319"/>
      <c r="AY9" s="319"/>
      <c r="AZ9" s="319"/>
      <c r="BA9" s="319"/>
      <c r="BB9" s="319"/>
      <c r="BC9" s="319"/>
      <c r="BD9" s="319"/>
      <c r="BE9" s="319"/>
      <c r="BF9" s="319"/>
      <c r="BG9" s="319"/>
      <c r="BH9" s="319"/>
      <c r="BI9" s="319"/>
      <c r="BJ9" s="319"/>
      <c r="BK9" s="319"/>
      <c r="BL9" s="319"/>
      <c r="BM9" s="319"/>
      <c r="BN9" s="319"/>
      <c r="BO9" s="319"/>
      <c r="BP9" s="319"/>
      <c r="BQ9" s="319"/>
      <c r="BR9" s="319"/>
      <c r="BS9" s="319"/>
      <c r="BT9" s="319"/>
      <c r="BU9" s="319"/>
      <c r="BV9" s="319"/>
      <c r="BW9" s="319"/>
      <c r="BX9" s="319"/>
      <c r="BY9" s="319"/>
      <c r="BZ9" s="319"/>
      <c r="CA9" s="319"/>
      <c r="CB9" s="319"/>
      <c r="CC9" s="319"/>
      <c r="CD9" s="319"/>
      <c r="CE9" s="319"/>
      <c r="CF9" s="319"/>
      <c r="CG9" s="319"/>
      <c r="CH9" s="319"/>
      <c r="CI9" s="319"/>
      <c r="CJ9" s="319"/>
      <c r="CK9" s="319"/>
      <c r="CL9" s="319"/>
      <c r="CM9" s="319"/>
      <c r="CN9" s="319"/>
      <c r="CO9" s="319"/>
      <c r="CP9" s="319"/>
      <c r="CQ9" s="319"/>
      <c r="CR9" s="319"/>
    </row>
    <row r="10" spans="1:102" s="320" customFormat="1" ht="141" customHeight="1" x14ac:dyDescent="0.25">
      <c r="A10" s="463" t="s">
        <v>702</v>
      </c>
      <c r="B10" s="464" t="s">
        <v>753</v>
      </c>
      <c r="C10" s="465" t="s">
        <v>603</v>
      </c>
      <c r="D10" s="466" t="s">
        <v>623</v>
      </c>
      <c r="E10" s="467" t="s">
        <v>739</v>
      </c>
      <c r="F10" s="467" t="s">
        <v>673</v>
      </c>
      <c r="G10" s="467" t="s">
        <v>738</v>
      </c>
      <c r="H10" s="492" t="s">
        <v>233</v>
      </c>
      <c r="I10" s="492" t="s">
        <v>740</v>
      </c>
      <c r="J10" s="493">
        <v>15</v>
      </c>
      <c r="K10" s="490" t="str">
        <f t="shared" ref="K10" si="6">IF(J10&lt;=0,"",IF(J10&lt;=2,"Muy Baja",IF(J10&lt;=24,"Baja",IF(J10&lt;=500,"Media",IF(J10&lt;=5000,"Alta","Muy Alta")))))</f>
        <v>Baja</v>
      </c>
      <c r="L10" s="488">
        <f t="shared" ref="L10" si="7">IF(K10="","",IF(K10="Muy Baja",0.2,IF(K10="Baja",0.4,IF(K10="Media",0.6,IF(K10="Alta",0.8,IF(K10="Muy Alta",1,))))))</f>
        <v>0.4</v>
      </c>
      <c r="M10" s="490">
        <v>5</v>
      </c>
      <c r="N10" s="488" t="str">
        <f>IF(M10=1,"INSIGNIFICANTE",IF(M10=2,"Menor",IF(M10=3,"Moderado",IF(M10=4,"MAYOR",IF(M10=5,"Catastrófico",IF(M10=""," "))))))</f>
        <v>Catastrófico</v>
      </c>
      <c r="O10" s="488">
        <f t="shared" ref="O10" si="8">IF(N10="","",IF(N10="Leve",0.2,IF(N10="Menor",0.4,IF(N10="Moderado",0.6,IF(N10="Mayor",0.8,IF(N10="Catastrófico",1,))))))</f>
        <v>1</v>
      </c>
      <c r="P10" s="491" t="str">
        <f t="shared" ref="P10" si="9">IF(OR(AND(K10="Muy Baja",N10="Leve"),AND(K10="Muy Baja",K10="Menor"),AND(K10="Baja",N10="Leve")),"Bajo",IF(OR(AND(K10="Muy baja",N10="Moderado"),AND(K10="Baja",N10="Menor"),AND(K10="Baja",N10="Moderado"),AND(K10="Media",N10="Leve"),AND(K10="Media",N10="Menor"),AND(K10="Media",N10="Moderado"),AND(K10="Alta",N10="Leve"),AND(K10="Alta",N10="Menor")),"Moderado",IF(OR(AND(K10="Muy Baja",N10="Mayor"),AND(K10="Baja",N10="Mayor"),AND(K10="Media",N10="Mayor"),AND(K10="Alta",N10="Moderado"),AND(K10="Alta",N10="Mayor"),AND(K10="Muy Alta",N10="Leve"),AND(K10="Muy Alta",N10="Menor"),AND(K10="Muy Alta",N10="Moderado"),AND(K10="Muy Alta",N10="Mayor")),"Alto",IF(OR(AND(K10="Muy Baja",N10="Catastrófico"),AND(K10="Baja",N10="Catastrófico"),AND(K10="Media",N10="Catastrófico"),AND(K10="Alta",N10="Catastrófico"),AND(K10="Muy Alta",N10="Catastrófico")),"Extremo",""))))</f>
        <v>Extremo</v>
      </c>
      <c r="Q10" s="235">
        <v>1</v>
      </c>
      <c r="R10" s="322" t="s">
        <v>703</v>
      </c>
      <c r="S10" s="305" t="s">
        <v>293</v>
      </c>
      <c r="T10" s="305" t="s">
        <v>704</v>
      </c>
      <c r="U10" s="307" t="str">
        <f t="shared" si="1"/>
        <v>Probabilidad</v>
      </c>
      <c r="V10" s="259" t="s">
        <v>13</v>
      </c>
      <c r="W10" s="259" t="s">
        <v>8</v>
      </c>
      <c r="X10" s="260" t="str">
        <f t="shared" ref="X10:X11" si="10">IF(AND(V10="Preventivo",W10="Automático"),"50%",IF(AND(V10="Preventivo",W10="Manual"),"40%",IF(AND(V10="Detectivo",W10="Automático"),"40%",IF(AND(V10="Detectivo",W10="Manual"),"30%",IF(AND(V10="Correctivo",W10="Automático"),"35%",IF(AND(V10="Correctivo",W10="Manual"),"25%",""))))))</f>
        <v>40%</v>
      </c>
      <c r="Y10" s="259" t="s">
        <v>19</v>
      </c>
      <c r="Z10" s="259" t="s">
        <v>21</v>
      </c>
      <c r="AA10" s="259" t="s">
        <v>103</v>
      </c>
      <c r="AB10" s="261">
        <f>IFERROR(IF(U10="Probabilidad",(L10-(+L10*X10)),IF(U10="Impacto",L10,"")),"")</f>
        <v>0.24</v>
      </c>
      <c r="AC10" s="262" t="str">
        <f>IFERROR(IF(AB10="","",IF(AB10&lt;=0.2,"Muy Baja",IF(AB10&lt;=0.4,"Baja",IF(AB10&lt;=0.6,"Media",IF(AB10&lt;=0.8,"Alta","Muy Alta"))))),"")</f>
        <v>Baja</v>
      </c>
      <c r="AD10" s="260">
        <f>+AB10</f>
        <v>0.24</v>
      </c>
      <c r="AE10" s="262" t="str">
        <f>IFERROR(IF(AF10="","",IF(AF10&lt;=0.2,"Leve",IF(AF10&lt;=0.4,"Menor",IF(AF10&lt;=0.6,"Moderado",IF(AF10&lt;=0.8,"Mayor","Catastrófico"))))),"")</f>
        <v>Catastrófico</v>
      </c>
      <c r="AF10" s="260">
        <f>IFERROR(IF(U10="Impacto",(O10-(+O10*X10)),IF(U10="Probabilidad",O10,"")),"")</f>
        <v>1</v>
      </c>
      <c r="AG10" s="264" t="str">
        <f>IFERROR(IF(OR(AND(AC10="Muy Baja",AE10="Leve"),AND(AC10="Muy Baja",AE10="Menor"),AND(AC10="Baja",AE10="Leve")),"Bajo",IF(OR(AND(AC10="Muy baja",AE10="Moderado"),AND(AC10="Baja",AE10="Menor"),AND(AC10="Baja",AE10="Moderado"),AND(AC10="Media",AE10="Leve"),AND(AC10="Media",AE10="Menor"),AND(AC10="Media",AE10="Moderado"),AND(AC10="Alta",AE10="Leve"),AND(AC10="Alta",AE10="Menor")),"Moderado",IF(OR(AND(AC10="Muy Baja",AE10="Mayor"),AND(AC10="Baja",AE10="Mayor"),AND(AC10="Media",AE10="Mayor"),AND(AC10="Alta",AE10="Moderado"),AND(AC10="Alta",AE10="Mayor"),AND(AC10="Muy Alta",AE10="Leve"),AND(AC10="Muy Alta",AE10="Menor"),AND(AC10="Muy Alta",AE10="Moderado"),AND(AC10="Muy Alta",AE10="Mayor")),"Alto",IF(OR(AND(AC10="Muy Baja",AE10="Catastrófico"),AND(AC10="Baja",AE10="Catastrófico"),AND(AC10="Media",AE10="Catastrófico"),AND(AC10="Alta",AE10="Catastrófico"),AND(AC10="Muy Alta",AE10="Catastrófico")),"Extremo","")))),"")</f>
        <v>Extremo</v>
      </c>
      <c r="AH10" s="259" t="s">
        <v>26</v>
      </c>
      <c r="AI10" s="307">
        <v>0</v>
      </c>
      <c r="AJ10" s="307">
        <v>0</v>
      </c>
      <c r="AK10" s="307">
        <v>0</v>
      </c>
      <c r="AL10" s="307">
        <v>0</v>
      </c>
      <c r="AM10" s="306"/>
      <c r="AN10" s="306"/>
      <c r="AO10" s="245"/>
      <c r="AP10" s="319"/>
      <c r="AQ10" s="319"/>
      <c r="AR10" s="319"/>
      <c r="AS10" s="319"/>
      <c r="AT10" s="319"/>
      <c r="AU10" s="319"/>
      <c r="AV10" s="319"/>
      <c r="AW10" s="319"/>
      <c r="AX10" s="319"/>
      <c r="AY10" s="319"/>
      <c r="AZ10" s="319"/>
      <c r="BA10" s="319"/>
      <c r="BB10" s="319"/>
      <c r="BC10" s="319"/>
      <c r="BD10" s="319"/>
      <c r="BE10" s="319"/>
      <c r="BF10" s="319"/>
      <c r="BG10" s="319"/>
      <c r="BH10" s="319"/>
      <c r="BI10" s="319"/>
      <c r="BJ10" s="319"/>
      <c r="BK10" s="319"/>
      <c r="BL10" s="319"/>
      <c r="BM10" s="319"/>
      <c r="BN10" s="319"/>
      <c r="BO10" s="319"/>
      <c r="BP10" s="319"/>
      <c r="BQ10" s="319"/>
      <c r="BR10" s="319"/>
      <c r="BS10" s="319"/>
      <c r="BT10" s="319"/>
      <c r="BU10" s="319"/>
      <c r="BV10" s="319"/>
      <c r="BW10" s="319"/>
      <c r="BX10" s="319"/>
      <c r="BY10" s="319"/>
      <c r="BZ10" s="319"/>
      <c r="CA10" s="319"/>
      <c r="CB10" s="319"/>
      <c r="CC10" s="319"/>
      <c r="CD10" s="319"/>
      <c r="CE10" s="319"/>
      <c r="CF10" s="319"/>
      <c r="CG10" s="319"/>
      <c r="CH10" s="319"/>
      <c r="CI10" s="319"/>
      <c r="CJ10" s="319"/>
      <c r="CK10" s="319"/>
      <c r="CL10" s="319"/>
      <c r="CM10" s="319"/>
      <c r="CN10" s="319"/>
      <c r="CO10" s="319"/>
      <c r="CP10" s="319"/>
      <c r="CQ10" s="319"/>
      <c r="CR10" s="319"/>
    </row>
    <row r="11" spans="1:102" s="321" customFormat="1" ht="159" customHeight="1" x14ac:dyDescent="0.25">
      <c r="A11" s="463"/>
      <c r="B11" s="464"/>
      <c r="C11" s="465"/>
      <c r="D11" s="466"/>
      <c r="E11" s="467"/>
      <c r="F11" s="467"/>
      <c r="G11" s="467"/>
      <c r="H11" s="492"/>
      <c r="I11" s="492"/>
      <c r="J11" s="493"/>
      <c r="K11" s="490"/>
      <c r="L11" s="488"/>
      <c r="M11" s="490"/>
      <c r="N11" s="488"/>
      <c r="O11" s="488"/>
      <c r="P11" s="491"/>
      <c r="Q11" s="235">
        <v>2</v>
      </c>
      <c r="R11" s="322" t="s">
        <v>875</v>
      </c>
      <c r="S11" s="305" t="s">
        <v>293</v>
      </c>
      <c r="T11" s="305" t="s">
        <v>741</v>
      </c>
      <c r="U11" s="307" t="str">
        <f t="shared" si="1"/>
        <v>Probabilidad</v>
      </c>
      <c r="V11" s="259" t="s">
        <v>13</v>
      </c>
      <c r="W11" s="259" t="s">
        <v>8</v>
      </c>
      <c r="X11" s="260" t="str">
        <f t="shared" si="10"/>
        <v>40%</v>
      </c>
      <c r="Y11" s="259" t="s">
        <v>19</v>
      </c>
      <c r="Z11" s="259" t="s">
        <v>21</v>
      </c>
      <c r="AA11" s="259" t="s">
        <v>103</v>
      </c>
      <c r="AB11" s="261">
        <f>IFERROR(IF(AND(U10="Probabilidad",U11="Probabilidad"),(AD10-(+AD10*X11)),IF(U11="Probabilidad",(L10-(+L10*X11)),IF(U11="Impacto",AD10,""))),"")</f>
        <v>0.14399999999999999</v>
      </c>
      <c r="AC11" s="262" t="str">
        <f t="shared" ref="AC11" si="11">IFERROR(IF(AB11="","",IF(AB11&lt;=0.2,"Muy Baja",IF(AB11&lt;=0.4,"Baja",IF(AB11&lt;=0.6,"Media",IF(AB11&lt;=0.8,"Alta","Muy Alta"))))),"")</f>
        <v>Muy Baja</v>
      </c>
      <c r="AD11" s="260">
        <f t="shared" ref="AD11" si="12">+AB11</f>
        <v>0.14399999999999999</v>
      </c>
      <c r="AE11" s="262" t="str">
        <f t="shared" ref="AE11" si="13">IFERROR(IF(AF11="","",IF(AF11&lt;=0.2,"Leve",IF(AF11&lt;=0.4,"Menor",IF(AF11&lt;=0.6,"Moderado",IF(AF11&lt;=0.8,"Mayor","Catastrófico"))))),"")</f>
        <v>Catastrófico</v>
      </c>
      <c r="AF11" s="260">
        <f>IFERROR(IF(AND(U10="Impacto",U11="Impacto"),(AF10-(+AF10*X11)),IF(U11="Impacto",($O$10-(+$O$10*X11)),IF(U11="Probabilidad",AF10,""))),"")</f>
        <v>1</v>
      </c>
      <c r="AG11" s="264" t="str">
        <f t="shared" ref="AG11" si="14">IFERROR(IF(OR(AND(AC11="Muy Baja",AE11="Leve"),AND(AC11="Muy Baja",AE11="Menor"),AND(AC11="Baja",AE11="Leve")),"Bajo",IF(OR(AND(AC11="Muy baja",AE11="Moderado"),AND(AC11="Baja",AE11="Menor"),AND(AC11="Baja",AE11="Moderado"),AND(AC11="Media",AE11="Leve"),AND(AC11="Media",AE11="Menor"),AND(AC11="Media",AE11="Moderado"),AND(AC11="Alta",AE11="Leve"),AND(AC11="Alta",AE11="Menor")),"Moderado",IF(OR(AND(AC11="Muy Baja",AE11="Mayor"),AND(AC11="Baja",AE11="Mayor"),AND(AC11="Media",AE11="Mayor"),AND(AC11="Alta",AE11="Moderado"),AND(AC11="Alta",AE11="Mayor"),AND(AC11="Muy Alta",AE11="Leve"),AND(AC11="Muy Alta",AE11="Menor"),AND(AC11="Muy Alta",AE11="Moderado"),AND(AC11="Muy Alta",AE11="Mayor")),"Alto",IF(OR(AND(AC11="Muy Baja",AE11="Catastrófico"),AND(AC11="Baja",AE11="Catastrófico"),AND(AC11="Media",AE11="Catastrófico"),AND(AC11="Alta",AE11="Catastrófico"),AND(AC11="Muy Alta",AE11="Catastrófico")),"Extremo","")))),"")</f>
        <v>Extremo</v>
      </c>
      <c r="AH11" s="259" t="s">
        <v>26</v>
      </c>
      <c r="AI11" s="307">
        <v>0</v>
      </c>
      <c r="AJ11" s="307">
        <v>0</v>
      </c>
      <c r="AK11" s="307">
        <v>0</v>
      </c>
      <c r="AL11" s="307">
        <v>0</v>
      </c>
      <c r="AM11" s="246"/>
      <c r="AN11" s="246"/>
      <c r="AO11" s="245"/>
      <c r="AP11" s="319"/>
      <c r="AQ11" s="319"/>
      <c r="AR11" s="319"/>
      <c r="AS11" s="319"/>
      <c r="AT11" s="319"/>
      <c r="AU11" s="319"/>
      <c r="AV11" s="319"/>
      <c r="AW11" s="319"/>
      <c r="AX11" s="319"/>
      <c r="AY11" s="319"/>
      <c r="AZ11" s="319"/>
      <c r="BA11" s="319"/>
      <c r="BB11" s="319"/>
      <c r="BC11" s="319"/>
      <c r="BD11" s="319"/>
      <c r="BE11" s="319"/>
      <c r="BF11" s="319"/>
      <c r="BG11" s="319"/>
      <c r="BH11" s="319"/>
      <c r="BI11" s="319"/>
      <c r="BJ11" s="319"/>
      <c r="BK11" s="319"/>
      <c r="BL11" s="319"/>
      <c r="BM11" s="319"/>
      <c r="BN11" s="319"/>
      <c r="BO11" s="319"/>
      <c r="BP11" s="319"/>
      <c r="BQ11" s="319"/>
      <c r="BR11" s="319"/>
      <c r="BS11" s="319"/>
      <c r="BT11" s="319"/>
      <c r="BU11" s="319"/>
      <c r="BV11" s="319"/>
      <c r="BW11" s="319"/>
      <c r="BX11" s="319"/>
      <c r="BY11" s="319"/>
      <c r="BZ11" s="319"/>
      <c r="CA11" s="319"/>
      <c r="CB11" s="319"/>
      <c r="CC11" s="319"/>
      <c r="CD11" s="319"/>
      <c r="CE11" s="319"/>
      <c r="CF11" s="319"/>
      <c r="CG11" s="319"/>
      <c r="CH11" s="319"/>
      <c r="CI11" s="319"/>
      <c r="CJ11" s="319"/>
      <c r="CK11" s="319"/>
      <c r="CL11" s="319"/>
      <c r="CM11" s="319"/>
      <c r="CN11" s="319"/>
      <c r="CO11" s="319"/>
      <c r="CP11" s="319"/>
      <c r="CQ11" s="319"/>
      <c r="CR11" s="319"/>
    </row>
    <row r="12" spans="1:102" s="320" customFormat="1" ht="256.5" customHeight="1" x14ac:dyDescent="0.25">
      <c r="A12" s="463" t="s">
        <v>710</v>
      </c>
      <c r="B12" s="464" t="s">
        <v>753</v>
      </c>
      <c r="C12" s="465" t="s">
        <v>604</v>
      </c>
      <c r="D12" s="466" t="s">
        <v>624</v>
      </c>
      <c r="E12" s="467" t="s">
        <v>861</v>
      </c>
      <c r="F12" s="467" t="s">
        <v>860</v>
      </c>
      <c r="G12" s="467" t="s">
        <v>759</v>
      </c>
      <c r="H12" s="492" t="s">
        <v>233</v>
      </c>
      <c r="I12" s="492" t="s">
        <v>758</v>
      </c>
      <c r="J12" s="493">
        <v>404000</v>
      </c>
      <c r="K12" s="490" t="str">
        <f t="shared" ref="K12" si="15">IF(J12&lt;=0,"",IF(J12&lt;=2,"Muy Baja",IF(J12&lt;=24,"Baja",IF(J12&lt;=500,"Media",IF(J12&lt;=5000,"Alta","Muy Alta")))))</f>
        <v>Muy Alta</v>
      </c>
      <c r="L12" s="488">
        <f t="shared" ref="L12" si="16">IF(K12="","",IF(K12="Muy Baja",0.2,IF(K12="Baja",0.4,IF(K12="Media",0.6,IF(K12="Alta",0.8,IF(K12="Muy Alta",1,))))))</f>
        <v>1</v>
      </c>
      <c r="M12" s="490">
        <v>5</v>
      </c>
      <c r="N12" s="488" t="str">
        <f>IF(M12=1,"INSIGNIFICANTE",IF(M12=2,"Menor",IF(M12=3,"Moderado",IF(M12=4,"MAYOR",IF(M12=5,"Catastrófico",IF(M12=""," "))))))</f>
        <v>Catastrófico</v>
      </c>
      <c r="O12" s="488">
        <f t="shared" ref="O12" si="17">IF(N12="","",IF(N12="Leve",0.2,IF(N12="Menor",0.4,IF(N12="Moderado",0.6,IF(N12="Mayor",0.8,IF(N12="Catastrófico",1,))))))</f>
        <v>1</v>
      </c>
      <c r="P12" s="491" t="str">
        <f t="shared" ref="P12" si="18">IF(OR(AND(K12="Muy Baja",N12="Leve"),AND(K12="Muy Baja",K12="Menor"),AND(K12="Baja",N12="Leve")),"Bajo",IF(OR(AND(K12="Muy baja",N12="Moderado"),AND(K12="Baja",N12="Menor"),AND(K12="Baja",N12="Moderado"),AND(K12="Media",N12="Leve"),AND(K12="Media",N12="Menor"),AND(K12="Media",N12="Moderado"),AND(K12="Alta",N12="Leve"),AND(K12="Alta",N12="Menor")),"Moderado",IF(OR(AND(K12="Muy Baja",N12="Mayor"),AND(K12="Baja",N12="Mayor"),AND(K12="Media",N12="Mayor"),AND(K12="Alta",N12="Moderado"),AND(K12="Alta",N12="Mayor"),AND(K12="Muy Alta",N12="Leve"),AND(K12="Muy Alta",N12="Menor"),AND(K12="Muy Alta",N12="Moderado"),AND(K12="Muy Alta",N12="Mayor")),"Alto",IF(OR(AND(K12="Muy Baja",N12="Catastrófico"),AND(K12="Baja",N12="Catastrófico"),AND(K12="Media",N12="Catastrófico"),AND(K12="Alta",N12="Catastrófico"),AND(K12="Muy Alta",N12="Catastrófico")),"Extremo",""))))</f>
        <v>Extremo</v>
      </c>
      <c r="Q12" s="235">
        <v>1</v>
      </c>
      <c r="R12" s="306" t="s">
        <v>859</v>
      </c>
      <c r="S12" s="245" t="s">
        <v>292</v>
      </c>
      <c r="T12" s="305" t="s">
        <v>711</v>
      </c>
      <c r="U12" s="307" t="str">
        <f t="shared" si="1"/>
        <v>Probabilidad</v>
      </c>
      <c r="V12" s="259" t="s">
        <v>13</v>
      </c>
      <c r="W12" s="259" t="s">
        <v>8</v>
      </c>
      <c r="X12" s="260" t="str">
        <f t="shared" ref="X12:X13" si="19">IF(AND(V12="Preventivo",W12="Automático"),"50%",IF(AND(V12="Preventivo",W12="Manual"),"40%",IF(AND(V12="Detectivo",W12="Automático"),"40%",IF(AND(V12="Detectivo",W12="Manual"),"30%",IF(AND(V12="Correctivo",W12="Automático"),"35%",IF(AND(V12="Correctivo",W12="Manual"),"25%",""))))))</f>
        <v>40%</v>
      </c>
      <c r="Y12" s="259" t="s">
        <v>18</v>
      </c>
      <c r="Z12" s="259" t="s">
        <v>21</v>
      </c>
      <c r="AA12" s="259" t="s">
        <v>103</v>
      </c>
      <c r="AB12" s="261">
        <f>IFERROR(IF(U12="Probabilidad",(L12-(+L12*X12)),IF(U12="Impacto",L12,"")),"")</f>
        <v>0.6</v>
      </c>
      <c r="AC12" s="262" t="str">
        <f>IFERROR(IF(AB12="","",IF(AB12&lt;=0.2,"Muy Baja",IF(AB12&lt;=0.4,"Baja",IF(AB12&lt;=0.6,"Media",IF(AB12&lt;=0.8,"Alta","Muy Alta"))))),"")</f>
        <v>Media</v>
      </c>
      <c r="AD12" s="260">
        <f>+AB12</f>
        <v>0.6</v>
      </c>
      <c r="AE12" s="262" t="str">
        <f>IFERROR(IF(AF12="","",IF(AF12&lt;=0.2,"Leve",IF(AF12&lt;=0.4,"Menor",IF(AF12&lt;=0.6,"Moderado",IF(AF12&lt;=0.8,"Mayor","Catastrófico"))))),"")</f>
        <v>Catastrófico</v>
      </c>
      <c r="AF12" s="260">
        <f>IFERROR(IF(U12="Impacto",(O12-(+O12*X12)),IF(U12="Probabilidad",O12,"")),"")</f>
        <v>1</v>
      </c>
      <c r="AG12" s="264" t="str">
        <f>IFERROR(IF(OR(AND(AC12="Muy Baja",AE12="Leve"),AND(AC12="Muy Baja",AE12="Menor"),AND(AC12="Baja",AE12="Leve")),"Bajo",IF(OR(AND(AC12="Muy baja",AE12="Moderado"),AND(AC12="Baja",AE12="Menor"),AND(AC12="Baja",AE12="Moderado"),AND(AC12="Media",AE12="Leve"),AND(AC12="Media",AE12="Menor"),AND(AC12="Media",AE12="Moderado"),AND(AC12="Alta",AE12="Leve"),AND(AC12="Alta",AE12="Menor")),"Moderado",IF(OR(AND(AC12="Muy Baja",AE12="Mayor"),AND(AC12="Baja",AE12="Mayor"),AND(AC12="Media",AE12="Mayor"),AND(AC12="Alta",AE12="Moderado"),AND(AC12="Alta",AE12="Mayor"),AND(AC12="Muy Alta",AE12="Leve"),AND(AC12="Muy Alta",AE12="Menor"),AND(AC12="Muy Alta",AE12="Moderado"),AND(AC12="Muy Alta",AE12="Mayor")),"Alto",IF(OR(AND(AC12="Muy Baja",AE12="Catastrófico"),AND(AC12="Baja",AE12="Catastrófico"),AND(AC12="Media",AE12="Catastrófico"),AND(AC12="Alta",AE12="Catastrófico"),AND(AC12="Muy Alta",AE12="Catastrófico")),"Extremo","")))),"")</f>
        <v>Extremo</v>
      </c>
      <c r="AH12" s="259" t="s">
        <v>26</v>
      </c>
      <c r="AI12" s="307">
        <v>4</v>
      </c>
      <c r="AJ12" s="307">
        <v>1</v>
      </c>
      <c r="AK12" s="307">
        <v>1</v>
      </c>
      <c r="AL12" s="307">
        <v>2</v>
      </c>
      <c r="AM12" s="306"/>
      <c r="AN12" s="306"/>
      <c r="AO12" s="245"/>
      <c r="AP12" s="319"/>
      <c r="AQ12" s="319"/>
      <c r="AR12" s="319"/>
      <c r="AS12" s="319"/>
      <c r="AT12" s="319"/>
      <c r="AU12" s="319"/>
      <c r="AV12" s="319"/>
      <c r="AW12" s="319"/>
      <c r="AX12" s="319"/>
      <c r="AY12" s="319"/>
      <c r="AZ12" s="319"/>
      <c r="BA12" s="319"/>
      <c r="BB12" s="319"/>
      <c r="BC12" s="319"/>
      <c r="BD12" s="319"/>
      <c r="BE12" s="319"/>
      <c r="BF12" s="319"/>
      <c r="BG12" s="319"/>
      <c r="BH12" s="319"/>
      <c r="BI12" s="319"/>
      <c r="BJ12" s="319"/>
      <c r="BK12" s="319"/>
      <c r="BL12" s="319"/>
      <c r="BM12" s="319"/>
      <c r="BN12" s="319"/>
      <c r="BO12" s="319"/>
      <c r="BP12" s="319"/>
      <c r="BQ12" s="319"/>
      <c r="BR12" s="319"/>
      <c r="BS12" s="319"/>
      <c r="BT12" s="319"/>
      <c r="BU12" s="319"/>
      <c r="BV12" s="319"/>
      <c r="BW12" s="319"/>
      <c r="BX12" s="319"/>
      <c r="BY12" s="319"/>
      <c r="BZ12" s="319"/>
      <c r="CA12" s="319"/>
      <c r="CB12" s="319"/>
      <c r="CC12" s="319"/>
      <c r="CD12" s="319"/>
      <c r="CE12" s="319"/>
      <c r="CF12" s="319"/>
      <c r="CG12" s="319"/>
      <c r="CH12" s="319"/>
      <c r="CI12" s="319"/>
      <c r="CJ12" s="319"/>
      <c r="CK12" s="319"/>
      <c r="CL12" s="319"/>
      <c r="CM12" s="319"/>
      <c r="CN12" s="319"/>
      <c r="CO12" s="319"/>
      <c r="CP12" s="319"/>
      <c r="CQ12" s="319"/>
      <c r="CR12" s="319"/>
    </row>
    <row r="13" spans="1:102" s="321" customFormat="1" ht="118.5" customHeight="1" x14ac:dyDescent="0.25">
      <c r="A13" s="463"/>
      <c r="B13" s="464"/>
      <c r="C13" s="465"/>
      <c r="D13" s="466"/>
      <c r="E13" s="467"/>
      <c r="F13" s="467"/>
      <c r="G13" s="467"/>
      <c r="H13" s="492"/>
      <c r="I13" s="492"/>
      <c r="J13" s="493"/>
      <c r="K13" s="490"/>
      <c r="L13" s="488"/>
      <c r="M13" s="490"/>
      <c r="N13" s="488"/>
      <c r="O13" s="488"/>
      <c r="P13" s="491"/>
      <c r="Q13" s="235">
        <v>2</v>
      </c>
      <c r="R13" s="322" t="s">
        <v>862</v>
      </c>
      <c r="S13" s="305" t="s">
        <v>293</v>
      </c>
      <c r="T13" s="305" t="s">
        <v>858</v>
      </c>
      <c r="U13" s="307" t="str">
        <f t="shared" si="1"/>
        <v>Probabilidad</v>
      </c>
      <c r="V13" s="259" t="s">
        <v>13</v>
      </c>
      <c r="W13" s="259" t="s">
        <v>8</v>
      </c>
      <c r="X13" s="260" t="str">
        <f t="shared" si="19"/>
        <v>40%</v>
      </c>
      <c r="Y13" s="259" t="s">
        <v>19</v>
      </c>
      <c r="Z13" s="259" t="s">
        <v>21</v>
      </c>
      <c r="AA13" s="259" t="s">
        <v>103</v>
      </c>
      <c r="AB13" s="261">
        <f>IFERROR(IF(AND(U12="Probabilidad",U13="Probabilidad"),(AD12-(+AD12*X13)),IF(U13="Probabilidad",(L12-(+L12*X13)),IF(U13="Impacto",AD12,""))),"")</f>
        <v>0.36</v>
      </c>
      <c r="AC13" s="262" t="str">
        <f t="shared" ref="AC13" si="20">IFERROR(IF(AB13="","",IF(AB13&lt;=0.2,"Muy Baja",IF(AB13&lt;=0.4,"Baja",IF(AB13&lt;=0.6,"Media",IF(AB13&lt;=0.8,"Alta","Muy Alta"))))),"")</f>
        <v>Baja</v>
      </c>
      <c r="AD13" s="260">
        <f t="shared" ref="AD13" si="21">+AB13</f>
        <v>0.36</v>
      </c>
      <c r="AE13" s="262" t="str">
        <f t="shared" ref="AE13" si="22">IFERROR(IF(AF13="","",IF(AF13&lt;=0.2,"Leve",IF(AF13&lt;=0.4,"Menor",IF(AF13&lt;=0.6,"Moderado",IF(AF13&lt;=0.8,"Mayor","Catastrófico"))))),"")</f>
        <v>Catastrófico</v>
      </c>
      <c r="AF13" s="260">
        <f>IFERROR(IF(AND(U12="Impacto",U13="Impacto"),(AF12-(+AF12*X13)),IF(U13="Impacto",($O$12-(+$O$12*X13)),IF(U13="Probabilidad",AF12,""))),"")</f>
        <v>1</v>
      </c>
      <c r="AG13" s="264" t="str">
        <f t="shared" ref="AG13" si="23">IFERROR(IF(OR(AND(AC13="Muy Baja",AE13="Leve"),AND(AC13="Muy Baja",AE13="Menor"),AND(AC13="Baja",AE13="Leve")),"Bajo",IF(OR(AND(AC13="Muy baja",AE13="Moderado"),AND(AC13="Baja",AE13="Menor"),AND(AC13="Baja",AE13="Moderado"),AND(AC13="Media",AE13="Leve"),AND(AC13="Media",AE13="Menor"),AND(AC13="Media",AE13="Moderado"),AND(AC13="Alta",AE13="Leve"),AND(AC13="Alta",AE13="Menor")),"Moderado",IF(OR(AND(AC13="Muy Baja",AE13="Mayor"),AND(AC13="Baja",AE13="Mayor"),AND(AC13="Media",AE13="Mayor"),AND(AC13="Alta",AE13="Moderado"),AND(AC13="Alta",AE13="Mayor"),AND(AC13="Muy Alta",AE13="Leve"),AND(AC13="Muy Alta",AE13="Menor"),AND(AC13="Muy Alta",AE13="Moderado"),AND(AC13="Muy Alta",AE13="Mayor")),"Alto",IF(OR(AND(AC13="Muy Baja",AE13="Catastrófico"),AND(AC13="Baja",AE13="Catastrófico"),AND(AC13="Media",AE13="Catastrófico"),AND(AC13="Alta",AE13="Catastrófico"),AND(AC13="Muy Alta",AE13="Catastrófico")),"Extremo","")))),"")</f>
        <v>Extremo</v>
      </c>
      <c r="AH13" s="259" t="s">
        <v>26</v>
      </c>
      <c r="AI13" s="307">
        <v>4</v>
      </c>
      <c r="AJ13" s="307">
        <v>1</v>
      </c>
      <c r="AK13" s="307">
        <v>1</v>
      </c>
      <c r="AL13" s="307">
        <v>2</v>
      </c>
      <c r="AM13" s="246"/>
      <c r="AN13" s="246"/>
      <c r="AO13" s="245"/>
      <c r="AP13" s="319"/>
      <c r="AQ13" s="319"/>
      <c r="AR13" s="319"/>
      <c r="AS13" s="319"/>
      <c r="AT13" s="319"/>
      <c r="AU13" s="319"/>
      <c r="AV13" s="319"/>
      <c r="AW13" s="319"/>
      <c r="AX13" s="319"/>
      <c r="AY13" s="319"/>
      <c r="AZ13" s="319"/>
      <c r="BA13" s="319"/>
      <c r="BB13" s="319"/>
      <c r="BC13" s="319"/>
      <c r="BD13" s="319"/>
      <c r="BE13" s="319"/>
      <c r="BF13" s="319"/>
      <c r="BG13" s="319"/>
      <c r="BH13" s="319"/>
      <c r="BI13" s="319"/>
      <c r="BJ13" s="319"/>
      <c r="BK13" s="319"/>
      <c r="BL13" s="319"/>
      <c r="BM13" s="319"/>
      <c r="BN13" s="319"/>
      <c r="BO13" s="319"/>
      <c r="BP13" s="319"/>
      <c r="BQ13" s="319"/>
      <c r="BR13" s="319"/>
      <c r="BS13" s="319"/>
      <c r="BT13" s="319"/>
      <c r="BU13" s="319"/>
      <c r="BV13" s="319"/>
      <c r="BW13" s="319"/>
      <c r="BX13" s="319"/>
      <c r="BY13" s="319"/>
      <c r="BZ13" s="319"/>
      <c r="CA13" s="319"/>
      <c r="CB13" s="319"/>
      <c r="CC13" s="319"/>
      <c r="CD13" s="319"/>
      <c r="CE13" s="319"/>
      <c r="CF13" s="319"/>
      <c r="CG13" s="319"/>
      <c r="CH13" s="319"/>
      <c r="CI13" s="319"/>
      <c r="CJ13" s="319"/>
      <c r="CK13" s="319"/>
      <c r="CL13" s="319"/>
      <c r="CM13" s="319"/>
      <c r="CN13" s="319"/>
      <c r="CO13" s="319"/>
      <c r="CP13" s="319"/>
      <c r="CQ13" s="319"/>
      <c r="CR13" s="319"/>
    </row>
    <row r="14" spans="1:102" s="320" customFormat="1" ht="174.75" customHeight="1" x14ac:dyDescent="0.25">
      <c r="A14" s="281" t="s">
        <v>1016</v>
      </c>
      <c r="B14" s="282" t="s">
        <v>753</v>
      </c>
      <c r="C14" s="211" t="s">
        <v>608</v>
      </c>
      <c r="D14" s="244" t="s">
        <v>620</v>
      </c>
      <c r="E14" s="306" t="s">
        <v>1017</v>
      </c>
      <c r="F14" s="306" t="s">
        <v>673</v>
      </c>
      <c r="G14" s="306" t="s">
        <v>1018</v>
      </c>
      <c r="H14" s="245" t="s">
        <v>233</v>
      </c>
      <c r="I14" s="245" t="s">
        <v>729</v>
      </c>
      <c r="J14" s="247">
        <v>4</v>
      </c>
      <c r="K14" s="284" t="str">
        <f t="shared" ref="K14" si="24">IF(J14&lt;=0,"",IF(J14&lt;=2,"Muy Baja",IF(J14&lt;=24,"Baja",IF(J14&lt;=500,"Media",IF(J14&lt;=5000,"Alta","Muy Alta")))))</f>
        <v>Baja</v>
      </c>
      <c r="L14" s="248">
        <f t="shared" ref="L14" si="25">IF(K14="","",IF(K14="Muy Baja",0.2,IF(K14="Baja",0.4,IF(K14="Media",0.6,IF(K14="Alta",0.8,IF(K14="Muy Alta",1,))))))</f>
        <v>0.4</v>
      </c>
      <c r="M14" s="288">
        <v>5</v>
      </c>
      <c r="N14" s="248" t="str">
        <f>IF(M14=1,"INSIGNIFICANTE",IF(M14=2,"Menor",IF(M14=3,"Moderado",IF(M14=4,"MAYOR",IF(M14=5,"Catastrófico",IF(M14=""," "))))))</f>
        <v>Catastrófico</v>
      </c>
      <c r="O14" s="248">
        <f t="shared" ref="O14" si="26">IF(N14="","",IF(N14="Leve",0.2,IF(N14="Menor",0.4,IF(N14="Moderado",0.6,IF(N14="Mayor",0.8,IF(N14="Catastrófico",1,))))))</f>
        <v>1</v>
      </c>
      <c r="P14" s="280" t="str">
        <f t="shared" ref="P14" si="27">IF(OR(AND(K14="Muy Baja",N14="Leve"),AND(K14="Muy Baja",K14="Menor"),AND(K14="Baja",N14="Leve")),"Bajo",IF(OR(AND(K14="Muy baja",N14="Moderado"),AND(K14="Baja",N14="Menor"),AND(K14="Baja",N14="Moderado"),AND(K14="Media",N14="Leve"),AND(K14="Media",N14="Menor"),AND(K14="Media",N14="Moderado"),AND(K14="Alta",N14="Leve"),AND(K14="Alta",N14="Menor")),"Moderado",IF(OR(AND(K14="Muy Baja",N14="Mayor"),AND(K14="Baja",N14="Mayor"),AND(K14="Media",N14="Mayor"),AND(K14="Alta",N14="Moderado"),AND(K14="Alta",N14="Mayor"),AND(K14="Muy Alta",N14="Leve"),AND(K14="Muy Alta",N14="Menor"),AND(K14="Muy Alta",N14="Moderado"),AND(K14="Muy Alta",N14="Mayor")),"Alto",IF(OR(AND(K14="Muy Baja",N14="Catastrófico"),AND(K14="Baja",N14="Catastrófico"),AND(K14="Media",N14="Catastrófico"),AND(K14="Alta",N14="Catastrófico"),AND(K14="Muy Alta",N14="Catastrófico")),"Extremo",""))))</f>
        <v>Extremo</v>
      </c>
      <c r="Q14" s="235">
        <v>1</v>
      </c>
      <c r="R14" s="322" t="s">
        <v>1019</v>
      </c>
      <c r="S14" s="305" t="s">
        <v>293</v>
      </c>
      <c r="T14" s="305" t="s">
        <v>1020</v>
      </c>
      <c r="U14" s="307" t="str">
        <f t="shared" si="1"/>
        <v>Probabilidad</v>
      </c>
      <c r="V14" s="259" t="s">
        <v>13</v>
      </c>
      <c r="W14" s="259" t="s">
        <v>8</v>
      </c>
      <c r="X14" s="260" t="str">
        <f t="shared" ref="X14" si="28">IF(AND(V14="Preventivo",W14="Automático"),"50%",IF(AND(V14="Preventivo",W14="Manual"),"40%",IF(AND(V14="Detectivo",W14="Automático"),"40%",IF(AND(V14="Detectivo",W14="Manual"),"30%",IF(AND(V14="Correctivo",W14="Automático"),"35%",IF(AND(V14="Correctivo",W14="Manual"),"25%",""))))))</f>
        <v>40%</v>
      </c>
      <c r="Y14" s="259" t="s">
        <v>18</v>
      </c>
      <c r="Z14" s="259" t="s">
        <v>21</v>
      </c>
      <c r="AA14" s="259" t="s">
        <v>103</v>
      </c>
      <c r="AB14" s="261">
        <f>IFERROR(IF(U14="Probabilidad",(L14-(+L14*X14)),IF(U14="Impacto",L14,"")),"")</f>
        <v>0.24</v>
      </c>
      <c r="AC14" s="262" t="str">
        <f>IFERROR(IF(AB14="","",IF(AB14&lt;=0.2,"Muy Baja",IF(AB14&lt;=0.4,"Baja",IF(AB14&lt;=0.6,"Media",IF(AB14&lt;=0.8,"Alta","Muy Alta"))))),"")</f>
        <v>Baja</v>
      </c>
      <c r="AD14" s="260">
        <f>+AB14</f>
        <v>0.24</v>
      </c>
      <c r="AE14" s="262" t="str">
        <f>IFERROR(IF(AF14="","",IF(AF14&lt;=0.2,"Leve",IF(AF14&lt;=0.4,"Menor",IF(AF14&lt;=0.6,"Moderado",IF(AF14&lt;=0.8,"Mayor","Catastrófico"))))),"")</f>
        <v>Catastrófico</v>
      </c>
      <c r="AF14" s="260">
        <f>IFERROR(IF(U14="Impacto",(O14-(+O14*X14)),IF(U14="Probabilidad",O14,"")),"")</f>
        <v>1</v>
      </c>
      <c r="AG14" s="264" t="str">
        <f>IFERROR(IF(OR(AND(AC14="Muy Baja",AE14="Leve"),AND(AC14="Muy Baja",AE14="Menor"),AND(AC14="Baja",AE14="Leve")),"Bajo",IF(OR(AND(AC14="Muy baja",AE14="Moderado"),AND(AC14="Baja",AE14="Menor"),AND(AC14="Baja",AE14="Moderado"),AND(AC14="Media",AE14="Leve"),AND(AC14="Media",AE14="Menor"),AND(AC14="Media",AE14="Moderado"),AND(AC14="Alta",AE14="Leve"),AND(AC14="Alta",AE14="Menor")),"Moderado",IF(OR(AND(AC14="Muy Baja",AE14="Mayor"),AND(AC14="Baja",AE14="Mayor"),AND(AC14="Media",AE14="Mayor"),AND(AC14="Alta",AE14="Moderado"),AND(AC14="Alta",AE14="Mayor"),AND(AC14="Muy Alta",AE14="Leve"),AND(AC14="Muy Alta",AE14="Menor"),AND(AC14="Muy Alta",AE14="Moderado"),AND(AC14="Muy Alta",AE14="Mayor")),"Alto",IF(OR(AND(AC14="Muy Baja",AE14="Catastrófico"),AND(AC14="Baja",AE14="Catastrófico"),AND(AC14="Media",AE14="Catastrófico"),AND(AC14="Alta",AE14="Catastrófico"),AND(AC14="Muy Alta",AE14="Catastrófico")),"Extremo","")))),"")</f>
        <v>Extremo</v>
      </c>
      <c r="AH14" s="259" t="s">
        <v>26</v>
      </c>
      <c r="AI14" s="307">
        <v>0</v>
      </c>
      <c r="AJ14" s="307">
        <v>0</v>
      </c>
      <c r="AK14" s="307">
        <v>0</v>
      </c>
      <c r="AL14" s="307">
        <v>0</v>
      </c>
      <c r="AM14" s="306"/>
      <c r="AN14" s="306"/>
      <c r="AO14" s="245"/>
      <c r="AP14" s="319"/>
      <c r="AQ14" s="319"/>
      <c r="AR14" s="319"/>
      <c r="AS14" s="319"/>
      <c r="AT14" s="319"/>
      <c r="AU14" s="319"/>
      <c r="AV14" s="319"/>
      <c r="AW14" s="319"/>
      <c r="AX14" s="319"/>
      <c r="AY14" s="319"/>
      <c r="AZ14" s="319"/>
      <c r="BA14" s="319"/>
      <c r="BB14" s="319"/>
      <c r="BC14" s="319"/>
      <c r="BD14" s="319"/>
      <c r="BE14" s="319"/>
      <c r="BF14" s="319"/>
      <c r="BG14" s="319"/>
      <c r="BH14" s="319"/>
      <c r="BI14" s="319"/>
      <c r="BJ14" s="319"/>
      <c r="BK14" s="319"/>
      <c r="BL14" s="319"/>
      <c r="BM14" s="319"/>
      <c r="BN14" s="319"/>
      <c r="BO14" s="319"/>
      <c r="BP14" s="319"/>
      <c r="BQ14" s="319"/>
      <c r="BR14" s="319"/>
      <c r="BS14" s="319"/>
      <c r="BT14" s="319"/>
      <c r="BU14" s="319"/>
      <c r="BV14" s="319"/>
      <c r="BW14" s="319"/>
      <c r="BX14" s="319"/>
      <c r="BY14" s="319"/>
      <c r="BZ14" s="319"/>
      <c r="CA14" s="319"/>
      <c r="CB14" s="319"/>
      <c r="CC14" s="319"/>
      <c r="CD14" s="319"/>
      <c r="CE14" s="319"/>
      <c r="CF14" s="319"/>
      <c r="CG14" s="319"/>
      <c r="CH14" s="319"/>
      <c r="CI14" s="319"/>
      <c r="CJ14" s="319"/>
      <c r="CK14" s="319"/>
      <c r="CL14" s="319"/>
      <c r="CM14" s="319"/>
      <c r="CN14" s="319"/>
      <c r="CO14" s="319"/>
      <c r="CP14" s="319"/>
      <c r="CQ14" s="319"/>
      <c r="CR14" s="319"/>
      <c r="CS14" s="321"/>
      <c r="CT14" s="321"/>
      <c r="CU14" s="321"/>
      <c r="CV14" s="321"/>
      <c r="CW14" s="321"/>
      <c r="CX14" s="321"/>
    </row>
    <row r="15" spans="1:102" s="320" customFormat="1" ht="199.5" x14ac:dyDescent="0.25">
      <c r="A15" s="463" t="s">
        <v>1021</v>
      </c>
      <c r="B15" s="464" t="s">
        <v>753</v>
      </c>
      <c r="C15" s="465" t="s">
        <v>608</v>
      </c>
      <c r="D15" s="466" t="s">
        <v>620</v>
      </c>
      <c r="E15" s="467" t="s">
        <v>1022</v>
      </c>
      <c r="F15" s="467" t="s">
        <v>673</v>
      </c>
      <c r="G15" s="467" t="s">
        <v>1023</v>
      </c>
      <c r="H15" s="492" t="s">
        <v>233</v>
      </c>
      <c r="I15" s="492" t="s">
        <v>1024</v>
      </c>
      <c r="J15" s="498">
        <v>8</v>
      </c>
      <c r="K15" s="490" t="str">
        <f t="shared" ref="K15" si="29">IF(J15&lt;=0,"",IF(J15&lt;=2,"Muy Baja",IF(J15&lt;=24,"Baja",IF(J15&lt;=500,"Media",IF(J15&lt;=5000,"Alta","Muy Alta")))))</f>
        <v>Baja</v>
      </c>
      <c r="L15" s="488">
        <f t="shared" ref="L15" si="30">IF(K15="","",IF(K15="Muy Baja",0.2,IF(K15="Baja",0.4,IF(K15="Media",0.6,IF(K15="Alta",0.8,IF(K15="Muy Alta",1,))))))</f>
        <v>0.4</v>
      </c>
      <c r="M15" s="581">
        <v>5</v>
      </c>
      <c r="N15" s="491" t="str">
        <f>IF(M15=1,"INSIGNIFICANTE",IF(M15=2,"Menor",IF(M15=3,"Moderado",IF(M15=4,"MAYOR",IF(M15=5,"Catastrófico",IF(M15=""," "))))))</f>
        <v>Catastrófico</v>
      </c>
      <c r="O15" s="488">
        <f t="shared" ref="O15" si="31">IF(N15="","",IF(N15="Leve",0.2,IF(N15="Menor",0.4,IF(N15="Moderado",0.6,IF(N15="Mayor",0.8,IF(N15="Catastrófico",1,))))))</f>
        <v>1</v>
      </c>
      <c r="P15" s="491" t="str">
        <f t="shared" ref="P15" si="32">IF(OR(AND(K15="Muy Baja",N15="Leve"),AND(K15="Muy Baja",K15="Menor"),AND(K15="Baja",N15="Leve")),"Bajo",IF(OR(AND(K15="Muy baja",N15="Moderado"),AND(K15="Baja",N15="Menor"),AND(K15="Baja",N15="Moderado"),AND(K15="Media",N15="Leve"),AND(K15="Media",N15="Menor"),AND(K15="Media",N15="Moderado"),AND(K15="Alta",N15="Leve"),AND(K15="Alta",N15="Menor")),"Moderado",IF(OR(AND(K15="Muy Baja",N15="Mayor"),AND(K15="Baja",N15="Mayor"),AND(K15="Media",N15="Mayor"),AND(K15="Alta",N15="Moderado"),AND(K15="Alta",N15="Mayor"),AND(K15="Muy Alta",N15="Leve"),AND(K15="Muy Alta",N15="Menor"),AND(K15="Muy Alta",N15="Moderado"),AND(K15="Muy Alta",N15="Mayor")),"Alto",IF(OR(AND(K15="Muy Baja",N15="Catastrófico"),AND(K15="Baja",N15="Catastrófico"),AND(K15="Media",N15="Catastrófico"),AND(K15="Alta",N15="Catastrófico"),AND(K15="Muy Alta",N15="Catastrófico")),"Extremo",""))))</f>
        <v>Extremo</v>
      </c>
      <c r="Q15" s="235">
        <v>1</v>
      </c>
      <c r="R15" s="322" t="s">
        <v>1025</v>
      </c>
      <c r="S15" s="305" t="s">
        <v>293</v>
      </c>
      <c r="T15" s="305" t="s">
        <v>1026</v>
      </c>
      <c r="U15" s="307" t="str">
        <f t="shared" si="1"/>
        <v>Probabilidad</v>
      </c>
      <c r="V15" s="259" t="s">
        <v>13</v>
      </c>
      <c r="W15" s="259" t="s">
        <v>8</v>
      </c>
      <c r="X15" s="260" t="str">
        <f t="shared" ref="X15:X16" si="33">IF(AND(V15="Preventivo",W15="Automático"),"50%",IF(AND(V15="Preventivo",W15="Manual"),"40%",IF(AND(V15="Detectivo",W15="Automático"),"40%",IF(AND(V15="Detectivo",W15="Manual"),"30%",IF(AND(V15="Correctivo",W15="Automático"),"35%",IF(AND(V15="Correctivo",W15="Manual"),"25%",""))))))</f>
        <v>40%</v>
      </c>
      <c r="Y15" s="259" t="s">
        <v>18</v>
      </c>
      <c r="Z15" s="259" t="s">
        <v>21</v>
      </c>
      <c r="AA15" s="259" t="s">
        <v>103</v>
      </c>
      <c r="AB15" s="261">
        <f>IFERROR(IF(U15="Probabilidad",(L15-(+L15*X15)),IF(U15="Impacto",L15,"")),"")</f>
        <v>0.24</v>
      </c>
      <c r="AC15" s="262" t="str">
        <f>IFERROR(IF(AB15="","",IF(AB15&lt;=0.2,"Muy Baja",IF(AB15&lt;=0.4,"Baja",IF(AB15&lt;=0.6,"Media",IF(AB15&lt;=0.8,"Alta","Muy Alta"))))),"")</f>
        <v>Baja</v>
      </c>
      <c r="AD15" s="260">
        <f>+AB15</f>
        <v>0.24</v>
      </c>
      <c r="AE15" s="262" t="str">
        <f>IFERROR(IF(AF15="","",IF(AF15&lt;=0.2,"Leve",IF(AF15&lt;=0.4,"Menor",IF(AF15&lt;=0.6,"Moderado",IF(AF15&lt;=0.8,"Mayor","Catastrófico"))))),"")</f>
        <v>Catastrófico</v>
      </c>
      <c r="AF15" s="260">
        <f>IFERROR(IF(U15="Impacto",(O15-(+O15*X15)),IF(U15="Probabilidad",O15,"")),"")</f>
        <v>1</v>
      </c>
      <c r="AG15" s="264" t="str">
        <f>IFERROR(IF(OR(AND(AC15="Muy Baja",AE15="Leve"),AND(AC15="Muy Baja",AE15="Menor"),AND(AC15="Baja",AE15="Leve")),"Bajo",IF(OR(AND(AC15="Muy baja",AE15="Moderado"),AND(AC15="Baja",AE15="Menor"),AND(AC15="Baja",AE15="Moderado"),AND(AC15="Media",AE15="Leve"),AND(AC15="Media",AE15="Menor"),AND(AC15="Media",AE15="Moderado"),AND(AC15="Alta",AE15="Leve"),AND(AC15="Alta",AE15="Menor")),"Moderado",IF(OR(AND(AC15="Muy Baja",AE15="Mayor"),AND(AC15="Baja",AE15="Mayor"),AND(AC15="Media",AE15="Mayor"),AND(AC15="Alta",AE15="Moderado"),AND(AC15="Alta",AE15="Mayor"),AND(AC15="Muy Alta",AE15="Leve"),AND(AC15="Muy Alta",AE15="Menor"),AND(AC15="Muy Alta",AE15="Moderado"),AND(AC15="Muy Alta",AE15="Mayor")),"Alto",IF(OR(AND(AC15="Muy Baja",AE15="Catastrófico"),AND(AC15="Baja",AE15="Catastrófico"),AND(AC15="Media",AE15="Catastrófico"),AND(AC15="Alta",AE15="Catastrófico"),AND(AC15="Muy Alta",AE15="Catastrófico")),"Extremo","")))),"")</f>
        <v>Extremo</v>
      </c>
      <c r="AH15" s="259" t="s">
        <v>26</v>
      </c>
      <c r="AI15" s="307">
        <v>0</v>
      </c>
      <c r="AJ15" s="307">
        <v>0</v>
      </c>
      <c r="AK15" s="307">
        <v>0</v>
      </c>
      <c r="AL15" s="307">
        <v>0</v>
      </c>
      <c r="AM15" s="306"/>
      <c r="AN15" s="306"/>
      <c r="AO15" s="245"/>
      <c r="AP15" s="319"/>
      <c r="AQ15" s="319"/>
      <c r="AR15" s="319"/>
      <c r="AS15" s="319"/>
      <c r="AT15" s="319"/>
      <c r="AU15" s="319"/>
      <c r="AV15" s="319"/>
      <c r="AW15" s="319"/>
      <c r="AX15" s="319"/>
      <c r="AY15" s="319"/>
      <c r="AZ15" s="319"/>
      <c r="BA15" s="319"/>
      <c r="BB15" s="319"/>
      <c r="BC15" s="319"/>
      <c r="BD15" s="319"/>
      <c r="BE15" s="319"/>
      <c r="BF15" s="319"/>
      <c r="BG15" s="319"/>
      <c r="BH15" s="319"/>
      <c r="BI15" s="319"/>
      <c r="BJ15" s="319"/>
      <c r="BK15" s="319"/>
      <c r="BL15" s="319"/>
      <c r="BM15" s="319"/>
      <c r="BN15" s="319"/>
      <c r="BO15" s="319"/>
      <c r="BP15" s="319"/>
      <c r="BQ15" s="319"/>
      <c r="BR15" s="319"/>
      <c r="BS15" s="319"/>
      <c r="BT15" s="319"/>
      <c r="BU15" s="319"/>
      <c r="BV15" s="319"/>
      <c r="BW15" s="319"/>
      <c r="BX15" s="319"/>
      <c r="BY15" s="319"/>
      <c r="BZ15" s="319"/>
      <c r="CA15" s="319"/>
      <c r="CB15" s="319"/>
      <c r="CC15" s="319"/>
      <c r="CD15" s="319"/>
      <c r="CE15" s="319"/>
      <c r="CF15" s="319"/>
      <c r="CG15" s="319"/>
      <c r="CH15" s="319"/>
      <c r="CI15" s="319"/>
      <c r="CJ15" s="319"/>
      <c r="CK15" s="319"/>
      <c r="CL15" s="319"/>
      <c r="CM15" s="319"/>
      <c r="CN15" s="319"/>
      <c r="CO15" s="319"/>
      <c r="CP15" s="319"/>
      <c r="CQ15" s="319"/>
      <c r="CR15" s="319"/>
      <c r="CS15" s="321"/>
      <c r="CT15" s="321"/>
      <c r="CU15" s="321"/>
      <c r="CV15" s="321"/>
      <c r="CW15" s="321"/>
      <c r="CX15" s="321"/>
    </row>
    <row r="16" spans="1:102" s="321" customFormat="1" ht="171.75" customHeight="1" x14ac:dyDescent="0.25">
      <c r="A16" s="463"/>
      <c r="B16" s="464"/>
      <c r="C16" s="465"/>
      <c r="D16" s="466"/>
      <c r="E16" s="467"/>
      <c r="F16" s="467"/>
      <c r="G16" s="467"/>
      <c r="H16" s="492"/>
      <c r="I16" s="492"/>
      <c r="J16" s="498"/>
      <c r="K16" s="490"/>
      <c r="L16" s="488"/>
      <c r="M16" s="581"/>
      <c r="N16" s="491"/>
      <c r="O16" s="488"/>
      <c r="P16" s="491"/>
      <c r="Q16" s="235">
        <v>2</v>
      </c>
      <c r="R16" s="322" t="s">
        <v>1027</v>
      </c>
      <c r="S16" s="305" t="s">
        <v>293</v>
      </c>
      <c r="T16" s="305" t="s">
        <v>1028</v>
      </c>
      <c r="U16" s="307" t="str">
        <f t="shared" si="1"/>
        <v>Impacto</v>
      </c>
      <c r="V16" s="259" t="s">
        <v>15</v>
      </c>
      <c r="W16" s="259" t="s">
        <v>8</v>
      </c>
      <c r="X16" s="260" t="str">
        <f t="shared" si="33"/>
        <v>25%</v>
      </c>
      <c r="Y16" s="259" t="s">
        <v>18</v>
      </c>
      <c r="Z16" s="259" t="s">
        <v>21</v>
      </c>
      <c r="AA16" s="259" t="s">
        <v>103</v>
      </c>
      <c r="AB16" s="261">
        <f>IFERROR(IF(AND(U15="Probabilidad",U16="Probabilidad"),(AD15-(+AD15*X16)),IF(U16="Probabilidad",(L15-(+L15*X16)),IF(U16="Impacto",AD15,""))),"")</f>
        <v>0.24</v>
      </c>
      <c r="AC16" s="262" t="str">
        <f t="shared" ref="AC16" si="34">IFERROR(IF(AB16="","",IF(AB16&lt;=0.2,"Muy Baja",IF(AB16&lt;=0.4,"Baja",IF(AB16&lt;=0.6,"Media",IF(AB16&lt;=0.8,"Alta","Muy Alta"))))),"")</f>
        <v>Baja</v>
      </c>
      <c r="AD16" s="260">
        <f t="shared" ref="AD16" si="35">+AB16</f>
        <v>0.24</v>
      </c>
      <c r="AE16" s="262" t="str">
        <f>IFERROR(IF(AF16="","",IF(AF16&lt;=0.2,"Leve",IF(AF16&lt;=0.4,"Menor",IF(AF16&lt;=0.6,"Moderado",IF(AF16&lt;=0.8,"Mayor","Catastrófico"))))),"")</f>
        <v/>
      </c>
      <c r="AF16" s="260" t="str">
        <f>IFERROR(IF(AND(U15="Impacto",U16="Impacto"),(AF15-(+AF15*X16)),IF(U16="Impacto",(#REF!-(+#REF!*X16)),IF(U16="Probabilidad",AF15,""))),"")</f>
        <v/>
      </c>
      <c r="AG16" s="264" t="str">
        <f t="shared" ref="AG16" si="36">IFERROR(IF(OR(AND(AC16="Muy Baja",AE16="Leve"),AND(AC16="Muy Baja",AE16="Menor"),AND(AC16="Baja",AE16="Leve")),"Bajo",IF(OR(AND(AC16="Muy baja",AE16="Moderado"),AND(AC16="Baja",AE16="Menor"),AND(AC16="Baja",AE16="Moderado"),AND(AC16="Media",AE16="Leve"),AND(AC16="Media",AE16="Menor"),AND(AC16="Media",AE16="Moderado"),AND(AC16="Alta",AE16="Leve"),AND(AC16="Alta",AE16="Menor")),"Moderado",IF(OR(AND(AC16="Muy Baja",AE16="Mayor"),AND(AC16="Baja",AE16="Mayor"),AND(AC16="Media",AE16="Mayor"),AND(AC16="Alta",AE16="Moderado"),AND(AC16="Alta",AE16="Mayor"),AND(AC16="Muy Alta",AE16="Leve"),AND(AC16="Muy Alta",AE16="Menor"),AND(AC16="Muy Alta",AE16="Moderado"),AND(AC16="Muy Alta",AE16="Mayor")),"Alto",IF(OR(AND(AC16="Muy Baja",AE16="Catastrófico"),AND(AC16="Baja",AE16="Catastrófico"),AND(AC16="Media",AE16="Catastrófico"),AND(AC16="Alta",AE16="Catastrófico"),AND(AC16="Muy Alta",AE16="Catastrófico")),"Extremo","")))),"")</f>
        <v/>
      </c>
      <c r="AH16" s="259" t="s">
        <v>26</v>
      </c>
      <c r="AI16" s="307">
        <v>0</v>
      </c>
      <c r="AJ16" s="307">
        <v>0</v>
      </c>
      <c r="AK16" s="307">
        <v>0</v>
      </c>
      <c r="AL16" s="307">
        <v>0</v>
      </c>
      <c r="AM16" s="246"/>
      <c r="AN16" s="246"/>
      <c r="AO16" s="245"/>
      <c r="AP16" s="319"/>
      <c r="AQ16" s="319"/>
      <c r="AR16" s="319"/>
      <c r="AS16" s="319"/>
      <c r="AT16" s="319"/>
      <c r="AU16" s="319"/>
      <c r="AV16" s="319"/>
      <c r="AW16" s="319"/>
      <c r="AX16" s="319"/>
      <c r="AY16" s="319"/>
      <c r="AZ16" s="319"/>
      <c r="BA16" s="319"/>
      <c r="BB16" s="319"/>
      <c r="BC16" s="319"/>
      <c r="BD16" s="319"/>
      <c r="BE16" s="319"/>
      <c r="BF16" s="319"/>
      <c r="BG16" s="319"/>
      <c r="BH16" s="319"/>
      <c r="BI16" s="319"/>
      <c r="BJ16" s="319"/>
      <c r="BK16" s="319"/>
      <c r="BL16" s="319"/>
      <c r="BM16" s="319"/>
      <c r="BN16" s="319"/>
      <c r="BO16" s="319"/>
      <c r="BP16" s="319"/>
      <c r="BQ16" s="319"/>
      <c r="BR16" s="319"/>
      <c r="BS16" s="319"/>
      <c r="BT16" s="319"/>
      <c r="BU16" s="319"/>
      <c r="BV16" s="319"/>
      <c r="BW16" s="319"/>
      <c r="BX16" s="319"/>
      <c r="BY16" s="319"/>
      <c r="BZ16" s="319"/>
      <c r="CA16" s="319"/>
      <c r="CB16" s="319"/>
      <c r="CC16" s="319"/>
      <c r="CD16" s="319"/>
      <c r="CE16" s="319"/>
      <c r="CF16" s="319"/>
      <c r="CG16" s="319"/>
      <c r="CH16" s="319"/>
      <c r="CI16" s="319"/>
      <c r="CJ16" s="319"/>
      <c r="CK16" s="319"/>
      <c r="CL16" s="319"/>
      <c r="CM16" s="319"/>
      <c r="CN16" s="319"/>
      <c r="CO16" s="319"/>
      <c r="CP16" s="319"/>
      <c r="CQ16" s="319"/>
      <c r="CR16" s="319"/>
    </row>
    <row r="17" spans="1:102" s="320" customFormat="1" ht="144.75" customHeight="1" x14ac:dyDescent="0.25">
      <c r="A17" s="463" t="s">
        <v>1007</v>
      </c>
      <c r="B17" s="464" t="s">
        <v>753</v>
      </c>
      <c r="C17" s="465" t="s">
        <v>606</v>
      </c>
      <c r="D17" s="466" t="s">
        <v>620</v>
      </c>
      <c r="E17" s="467" t="s">
        <v>1008</v>
      </c>
      <c r="F17" s="467" t="s">
        <v>673</v>
      </c>
      <c r="G17" s="467" t="s">
        <v>1009</v>
      </c>
      <c r="H17" s="492" t="s">
        <v>233</v>
      </c>
      <c r="I17" s="492" t="s">
        <v>729</v>
      </c>
      <c r="J17" s="493">
        <v>12</v>
      </c>
      <c r="K17" s="490" t="str">
        <f t="shared" ref="K17" si="37">IF(J17&lt;=0,"",IF(J17&lt;=2,"Muy Baja",IF(J17&lt;=24,"Baja",IF(J17&lt;=500,"Media",IF(J17&lt;=5000,"Alta","Muy Alta")))))</f>
        <v>Baja</v>
      </c>
      <c r="L17" s="488">
        <f t="shared" ref="L17" si="38">IF(K17="","",IF(K17="Muy Baja",0.2,IF(K17="Baja",0.4,IF(K17="Media",0.6,IF(K17="Alta",0.8,IF(K17="Muy Alta",1,))))))</f>
        <v>0.4</v>
      </c>
      <c r="M17" s="581">
        <v>5</v>
      </c>
      <c r="N17" s="488" t="str">
        <f>IF(M17=1,"INSIGNIFICANTE",IF(M17=2,"Menor",IF(M17=3,"Moderado",IF(M17=4,"MAYOR",IF(M17=5,"Catastrófico",IF(M17=""," "))))))</f>
        <v>Catastrófico</v>
      </c>
      <c r="O17" s="488">
        <f t="shared" ref="O17" si="39">IF(N17="","",IF(N17="Leve",0.2,IF(N17="Menor",0.4,IF(N17="Moderado",0.6,IF(N17="Mayor",0.8,IF(N17="Catastrófico",1,))))))</f>
        <v>1</v>
      </c>
      <c r="P17" s="491" t="str">
        <f t="shared" ref="P17" si="40">IF(OR(AND(K17="Muy Baja",N17="Leve"),AND(K17="Muy Baja",K17="Menor"),AND(K17="Baja",N17="Leve")),"Bajo",IF(OR(AND(K17="Muy baja",N17="Moderado"),AND(K17="Baja",N17="Menor"),AND(K17="Baja",N17="Moderado"),AND(K17="Media",N17="Leve"),AND(K17="Media",N17="Menor"),AND(K17="Media",N17="Moderado"),AND(K17="Alta",N17="Leve"),AND(K17="Alta",N17="Menor")),"Moderado",IF(OR(AND(K17="Muy Baja",N17="Mayor"),AND(K17="Baja",N17="Mayor"),AND(K17="Media",N17="Mayor"),AND(K17="Alta",N17="Moderado"),AND(K17="Alta",N17="Mayor"),AND(K17="Muy Alta",N17="Leve"),AND(K17="Muy Alta",N17="Menor"),AND(K17="Muy Alta",N17="Moderado"),AND(K17="Muy Alta",N17="Mayor")),"Alto",IF(OR(AND(K17="Muy Baja",N17="Catastrófico"),AND(K17="Baja",N17="Catastrófico"),AND(K17="Media",N17="Catastrófico"),AND(K17="Alta",N17="Catastrófico"),AND(K17="Muy Alta",N17="Catastrófico")),"Extremo",""))))</f>
        <v>Extremo</v>
      </c>
      <c r="Q17" s="235">
        <v>1</v>
      </c>
      <c r="R17" s="322" t="s">
        <v>1010</v>
      </c>
      <c r="S17" s="305" t="s">
        <v>293</v>
      </c>
      <c r="T17" s="305" t="s">
        <v>1011</v>
      </c>
      <c r="U17" s="307" t="str">
        <f t="shared" si="1"/>
        <v>Probabilidad</v>
      </c>
      <c r="V17" s="259" t="s">
        <v>13</v>
      </c>
      <c r="W17" s="259" t="s">
        <v>8</v>
      </c>
      <c r="X17" s="260" t="str">
        <f t="shared" ref="X17:X18" si="41">IF(AND(V17="Preventivo",W17="Automático"),"50%",IF(AND(V17="Preventivo",W17="Manual"),"40%",IF(AND(V17="Detectivo",W17="Automático"),"40%",IF(AND(V17="Detectivo",W17="Manual"),"30%",IF(AND(V17="Correctivo",W17="Automático"),"35%",IF(AND(V17="Correctivo",W17="Manual"),"25%",""))))))</f>
        <v>40%</v>
      </c>
      <c r="Y17" s="259" t="s">
        <v>18</v>
      </c>
      <c r="Z17" s="259" t="s">
        <v>21</v>
      </c>
      <c r="AA17" s="259" t="s">
        <v>103</v>
      </c>
      <c r="AB17" s="261">
        <f>IFERROR(IF(U17="Probabilidad",(L17-(+L17*X17)),IF(U17="Impacto",L17,"")),"")</f>
        <v>0.24</v>
      </c>
      <c r="AC17" s="262" t="str">
        <f>IFERROR(IF(AB17="","",IF(AB17&lt;=0.2,"Muy Baja",IF(AB17&lt;=0.4,"Baja",IF(AB17&lt;=0.6,"Media",IF(AB17&lt;=0.8,"Alta","Muy Alta"))))),"")</f>
        <v>Baja</v>
      </c>
      <c r="AD17" s="260">
        <f>+AB17</f>
        <v>0.24</v>
      </c>
      <c r="AE17" s="262" t="str">
        <f>IFERROR(IF(AF17="","",IF(AF17&lt;=0.2,"Leve",IF(AF17&lt;=0.4,"Menor",IF(AF17&lt;=0.6,"Moderado",IF(AF17&lt;=0.8,"Mayor","Catastrófico"))))),"")</f>
        <v>Catastrófico</v>
      </c>
      <c r="AF17" s="260">
        <f>IFERROR(IF(U17="Impacto",(O17-(+O17*X17)),IF(U17="Probabilidad",O17,"")),"")</f>
        <v>1</v>
      </c>
      <c r="AG17" s="264" t="str">
        <f>IFERROR(IF(OR(AND(AC17="Muy Baja",AE17="Leve"),AND(AC17="Muy Baja",AE17="Menor"),AND(AC17="Baja",AE17="Leve")),"Bajo",IF(OR(AND(AC17="Muy baja",AE17="Moderado"),AND(AC17="Baja",AE17="Menor"),AND(AC17="Baja",AE17="Moderado"),AND(AC17="Media",AE17="Leve"),AND(AC17="Media",AE17="Menor"),AND(AC17="Media",AE17="Moderado"),AND(AC17="Alta",AE17="Leve"),AND(AC17="Alta",AE17="Menor")),"Moderado",IF(OR(AND(AC17="Muy Baja",AE17="Mayor"),AND(AC17="Baja",AE17="Mayor"),AND(AC17="Media",AE17="Mayor"),AND(AC17="Alta",AE17="Moderado"),AND(AC17="Alta",AE17="Mayor"),AND(AC17="Muy Alta",AE17="Leve"),AND(AC17="Muy Alta",AE17="Menor"),AND(AC17="Muy Alta",AE17="Moderado"),AND(AC17="Muy Alta",AE17="Mayor")),"Alto",IF(OR(AND(AC17="Muy Baja",AE17="Catastrófico"),AND(AC17="Baja",AE17="Catastrófico"),AND(AC17="Media",AE17="Catastrófico"),AND(AC17="Alta",AE17="Catastrófico"),AND(AC17="Muy Alta",AE17="Catastrófico")),"Extremo","")))),"")</f>
        <v>Extremo</v>
      </c>
      <c r="AH17" s="259" t="s">
        <v>26</v>
      </c>
      <c r="AI17" s="307">
        <v>0</v>
      </c>
      <c r="AJ17" s="307">
        <v>0</v>
      </c>
      <c r="AK17" s="307">
        <v>0</v>
      </c>
      <c r="AL17" s="307">
        <v>0</v>
      </c>
      <c r="AM17" s="306"/>
      <c r="AN17" s="306"/>
      <c r="AO17" s="245"/>
      <c r="AP17" s="319"/>
      <c r="AQ17" s="319"/>
      <c r="AR17" s="319"/>
      <c r="AS17" s="319"/>
      <c r="AT17" s="319"/>
      <c r="AU17" s="319"/>
      <c r="AV17" s="319"/>
      <c r="AW17" s="319"/>
      <c r="AX17" s="319"/>
      <c r="AY17" s="319"/>
      <c r="AZ17" s="319"/>
      <c r="BA17" s="319"/>
      <c r="BB17" s="319"/>
      <c r="BC17" s="319"/>
      <c r="BD17" s="319"/>
      <c r="BE17" s="319"/>
      <c r="BF17" s="319"/>
      <c r="BG17" s="319"/>
      <c r="BH17" s="319"/>
      <c r="BI17" s="319"/>
      <c r="BJ17" s="319"/>
      <c r="BK17" s="319"/>
      <c r="BL17" s="319"/>
      <c r="BM17" s="319"/>
      <c r="BN17" s="319"/>
      <c r="BO17" s="319"/>
      <c r="BP17" s="319"/>
      <c r="BQ17" s="319"/>
      <c r="BR17" s="319"/>
      <c r="BS17" s="319"/>
      <c r="BT17" s="319"/>
      <c r="BU17" s="319"/>
      <c r="BV17" s="319"/>
      <c r="BW17" s="319"/>
      <c r="BX17" s="319"/>
      <c r="BY17" s="319"/>
      <c r="BZ17" s="319"/>
      <c r="CA17" s="319"/>
      <c r="CB17" s="319"/>
      <c r="CC17" s="319"/>
      <c r="CD17" s="319"/>
      <c r="CE17" s="319"/>
      <c r="CF17" s="319"/>
      <c r="CG17" s="319"/>
      <c r="CH17" s="319"/>
      <c r="CI17" s="319"/>
      <c r="CJ17" s="319"/>
      <c r="CK17" s="319"/>
      <c r="CL17" s="319"/>
      <c r="CM17" s="319"/>
      <c r="CN17" s="319"/>
      <c r="CO17" s="319"/>
      <c r="CP17" s="319"/>
      <c r="CQ17" s="319"/>
      <c r="CR17" s="319"/>
      <c r="CS17" s="321"/>
      <c r="CT17" s="321"/>
      <c r="CU17" s="321"/>
      <c r="CV17" s="321"/>
      <c r="CW17" s="321"/>
      <c r="CX17" s="321"/>
    </row>
    <row r="18" spans="1:102" s="321" customFormat="1" ht="128.25" x14ac:dyDescent="0.25">
      <c r="A18" s="463"/>
      <c r="B18" s="464"/>
      <c r="C18" s="465"/>
      <c r="D18" s="466"/>
      <c r="E18" s="467"/>
      <c r="F18" s="467"/>
      <c r="G18" s="467"/>
      <c r="H18" s="492"/>
      <c r="I18" s="492"/>
      <c r="J18" s="493"/>
      <c r="K18" s="490"/>
      <c r="L18" s="488"/>
      <c r="M18" s="581"/>
      <c r="N18" s="488"/>
      <c r="O18" s="488"/>
      <c r="P18" s="491"/>
      <c r="Q18" s="235">
        <v>2</v>
      </c>
      <c r="R18" s="323" t="s">
        <v>1012</v>
      </c>
      <c r="S18" s="305" t="s">
        <v>293</v>
      </c>
      <c r="T18" s="305" t="s">
        <v>1013</v>
      </c>
      <c r="U18" s="307" t="str">
        <f t="shared" si="1"/>
        <v>Probabilidad</v>
      </c>
      <c r="V18" s="259" t="s">
        <v>13</v>
      </c>
      <c r="W18" s="259" t="s">
        <v>8</v>
      </c>
      <c r="X18" s="260" t="str">
        <f t="shared" si="41"/>
        <v>40%</v>
      </c>
      <c r="Y18" s="259" t="s">
        <v>18</v>
      </c>
      <c r="Z18" s="259" t="s">
        <v>21</v>
      </c>
      <c r="AA18" s="259" t="s">
        <v>103</v>
      </c>
      <c r="AB18" s="261">
        <f>IFERROR(IF(AND(U17="Probabilidad",U18="Probabilidad"),(AD17-(+AD17*X18)),IF(U18="Probabilidad",(L17-(+L17*X18)),IF(U18="Impacto",AD17,""))),"")</f>
        <v>0.14399999999999999</v>
      </c>
      <c r="AC18" s="262" t="str">
        <f t="shared" ref="AC18:AC19" si="42">IFERROR(IF(AB18="","",IF(AB18&lt;=0.2,"Muy Baja",IF(AB18&lt;=0.4,"Baja",IF(AB18&lt;=0.6,"Media",IF(AB18&lt;=0.8,"Alta","Muy Alta"))))),"")</f>
        <v>Muy Baja</v>
      </c>
      <c r="AD18" s="260">
        <f t="shared" ref="AD18:AD19" si="43">+AB18</f>
        <v>0.14399999999999999</v>
      </c>
      <c r="AE18" s="262" t="str">
        <f t="shared" ref="AE18:AE19" si="44">IFERROR(IF(AF18="","",IF(AF18&lt;=0.2,"Leve",IF(AF18&lt;=0.4,"Menor",IF(AF18&lt;=0.6,"Moderado",IF(AF18&lt;=0.8,"Mayor","Catastrófico"))))),"")</f>
        <v>Catastrófico</v>
      </c>
      <c r="AF18" s="260">
        <f>IFERROR(IF(AND(U17="Impacto",U18="Impacto"),(AF17-(+AF17*X18)),IF(U18="Impacto",(#REF!-(+#REF!*X18)),IF(U18="Probabilidad",AF17,""))),"")</f>
        <v>1</v>
      </c>
      <c r="AG18" s="264" t="str">
        <f t="shared" ref="AG18:AG19" si="45">IFERROR(IF(OR(AND(AC18="Muy Baja",AE18="Leve"),AND(AC18="Muy Baja",AE18="Menor"),AND(AC18="Baja",AE18="Leve")),"Bajo",IF(OR(AND(AC18="Muy baja",AE18="Moderado"),AND(AC18="Baja",AE18="Menor"),AND(AC18="Baja",AE18="Moderado"),AND(AC18="Media",AE18="Leve"),AND(AC18="Media",AE18="Menor"),AND(AC18="Media",AE18="Moderado"),AND(AC18="Alta",AE18="Leve"),AND(AC18="Alta",AE18="Menor")),"Moderado",IF(OR(AND(AC18="Muy Baja",AE18="Mayor"),AND(AC18="Baja",AE18="Mayor"),AND(AC18="Media",AE18="Mayor"),AND(AC18="Alta",AE18="Moderado"),AND(AC18="Alta",AE18="Mayor"),AND(AC18="Muy Alta",AE18="Leve"),AND(AC18="Muy Alta",AE18="Menor"),AND(AC18="Muy Alta",AE18="Moderado"),AND(AC18="Muy Alta",AE18="Mayor")),"Alto",IF(OR(AND(AC18="Muy Baja",AE18="Catastrófico"),AND(AC18="Baja",AE18="Catastrófico"),AND(AC18="Media",AE18="Catastrófico"),AND(AC18="Alta",AE18="Catastrófico"),AND(AC18="Muy Alta",AE18="Catastrófico")),"Extremo","")))),"")</f>
        <v>Extremo</v>
      </c>
      <c r="AH18" s="259" t="s">
        <v>26</v>
      </c>
      <c r="AI18" s="307">
        <v>0</v>
      </c>
      <c r="AJ18" s="307">
        <v>0</v>
      </c>
      <c r="AK18" s="307">
        <v>0</v>
      </c>
      <c r="AL18" s="307">
        <v>0</v>
      </c>
      <c r="AM18" s="246"/>
      <c r="AN18" s="246"/>
      <c r="AO18" s="245"/>
      <c r="AP18" s="319"/>
      <c r="AQ18" s="319"/>
      <c r="AR18" s="319"/>
      <c r="AS18" s="319"/>
      <c r="AT18" s="319"/>
      <c r="AU18" s="319"/>
      <c r="AV18" s="319"/>
      <c r="AW18" s="319"/>
      <c r="AX18" s="319"/>
      <c r="AY18" s="319"/>
      <c r="AZ18" s="319"/>
      <c r="BA18" s="319"/>
      <c r="BB18" s="319"/>
      <c r="BC18" s="319"/>
      <c r="BD18" s="319"/>
      <c r="BE18" s="319"/>
      <c r="BF18" s="319"/>
      <c r="BG18" s="319"/>
      <c r="BH18" s="319"/>
      <c r="BI18" s="319"/>
      <c r="BJ18" s="319"/>
      <c r="BK18" s="319"/>
      <c r="BL18" s="319"/>
      <c r="BM18" s="319"/>
      <c r="BN18" s="319"/>
      <c r="BO18" s="319"/>
      <c r="BP18" s="319"/>
      <c r="BQ18" s="319"/>
      <c r="BR18" s="319"/>
      <c r="BS18" s="319"/>
      <c r="BT18" s="319"/>
      <c r="BU18" s="319"/>
      <c r="BV18" s="319"/>
      <c r="BW18" s="319"/>
      <c r="BX18" s="319"/>
      <c r="BY18" s="319"/>
      <c r="BZ18" s="319"/>
      <c r="CA18" s="319"/>
      <c r="CB18" s="319"/>
      <c r="CC18" s="319"/>
      <c r="CD18" s="319"/>
      <c r="CE18" s="319"/>
      <c r="CF18" s="319"/>
      <c r="CG18" s="319"/>
      <c r="CH18" s="319"/>
      <c r="CI18" s="319"/>
      <c r="CJ18" s="319"/>
      <c r="CK18" s="319"/>
      <c r="CL18" s="319"/>
      <c r="CM18" s="319"/>
      <c r="CN18" s="319"/>
      <c r="CO18" s="319"/>
      <c r="CP18" s="319"/>
      <c r="CQ18" s="319"/>
      <c r="CR18" s="319"/>
    </row>
    <row r="19" spans="1:102" s="321" customFormat="1" ht="122.25" customHeight="1" x14ac:dyDescent="0.25">
      <c r="A19" s="463"/>
      <c r="B19" s="464"/>
      <c r="C19" s="465"/>
      <c r="D19" s="466"/>
      <c r="E19" s="467"/>
      <c r="F19" s="467"/>
      <c r="G19" s="467"/>
      <c r="H19" s="492"/>
      <c r="I19" s="492"/>
      <c r="J19" s="493"/>
      <c r="K19" s="490"/>
      <c r="L19" s="488"/>
      <c r="M19" s="581"/>
      <c r="N19" s="488"/>
      <c r="O19" s="488"/>
      <c r="P19" s="491"/>
      <c r="Q19" s="235">
        <v>3</v>
      </c>
      <c r="R19" s="322" t="s">
        <v>1014</v>
      </c>
      <c r="S19" s="305" t="s">
        <v>293</v>
      </c>
      <c r="T19" s="305" t="s">
        <v>1015</v>
      </c>
      <c r="U19" s="307" t="str">
        <f t="shared" si="1"/>
        <v>Probabilidad</v>
      </c>
      <c r="V19" s="259" t="s">
        <v>13</v>
      </c>
      <c r="W19" s="259" t="s">
        <v>8</v>
      </c>
      <c r="X19" s="260" t="str">
        <f>IF(AND(V19="Preventivo",W19="Automático"),"50%",IF(AND(V19="Preventivo",W19="Manual"),"40%",IF(AND(V19="Detectivo",W19="Automático"),"40%",IF(AND(V19="Detectivo",W19="Manual"),"30%",IF(AND(V19="Correctivo",W19="Automático"),"35%",IF(AND(V19="Correctivo",W19="Manual"),"25%",""))))))</f>
        <v>40%</v>
      </c>
      <c r="Y19" s="259" t="s">
        <v>18</v>
      </c>
      <c r="Z19" s="259" t="s">
        <v>21</v>
      </c>
      <c r="AA19" s="259" t="s">
        <v>103</v>
      </c>
      <c r="AB19" s="261">
        <f t="shared" ref="AB19" si="46">IFERROR(IF(AND(U18="Probabilidad",U19="Probabilidad"),(AD18-(+AD18*X19)),IF(AND(U18="Impacto",U19="Probabilidad"),(AD17-(+AD17*X19)),IF(U19="Impacto",AD18,""))),"")</f>
        <v>8.6399999999999991E-2</v>
      </c>
      <c r="AC19" s="262" t="str">
        <f t="shared" si="42"/>
        <v>Muy Baja</v>
      </c>
      <c r="AD19" s="260">
        <f t="shared" si="43"/>
        <v>8.6399999999999991E-2</v>
      </c>
      <c r="AE19" s="262" t="str">
        <f t="shared" si="44"/>
        <v>Catastrófico</v>
      </c>
      <c r="AF19" s="260">
        <f>IFERROR(IF(AND(U18="Impacto",U19="Impacto"),(AF18-(+AF18*X19)),IF(U19="Impacto",(#REF!-(+#REF!*X19)),IF(U19="Probabilidad",AF18,""))),"")</f>
        <v>1</v>
      </c>
      <c r="AG19" s="264" t="str">
        <f t="shared" si="45"/>
        <v>Extremo</v>
      </c>
      <c r="AH19" s="259" t="s">
        <v>26</v>
      </c>
      <c r="AI19" s="307">
        <v>0</v>
      </c>
      <c r="AJ19" s="307">
        <v>0</v>
      </c>
      <c r="AK19" s="307">
        <v>0</v>
      </c>
      <c r="AL19" s="307">
        <v>0</v>
      </c>
      <c r="AM19" s="246"/>
      <c r="AN19" s="246"/>
      <c r="AO19" s="245"/>
      <c r="AP19" s="319"/>
      <c r="AQ19" s="319"/>
      <c r="AR19" s="319"/>
      <c r="AS19" s="319"/>
      <c r="AT19" s="319"/>
      <c r="AU19" s="319"/>
      <c r="AV19" s="319"/>
      <c r="AW19" s="319"/>
      <c r="AX19" s="319"/>
      <c r="AY19" s="319"/>
      <c r="AZ19" s="319"/>
      <c r="BA19" s="319"/>
      <c r="BB19" s="319"/>
      <c r="BC19" s="319"/>
      <c r="BD19" s="319"/>
      <c r="BE19" s="319"/>
      <c r="BF19" s="319"/>
      <c r="BG19" s="319"/>
      <c r="BH19" s="319"/>
      <c r="BI19" s="319"/>
      <c r="BJ19" s="319"/>
      <c r="BK19" s="319"/>
      <c r="BL19" s="319"/>
      <c r="BM19" s="319"/>
      <c r="BN19" s="319"/>
      <c r="BO19" s="319"/>
      <c r="BP19" s="319"/>
      <c r="BQ19" s="319"/>
      <c r="BR19" s="319"/>
      <c r="BS19" s="319"/>
      <c r="BT19" s="319"/>
      <c r="BU19" s="319"/>
      <c r="BV19" s="319"/>
      <c r="BW19" s="319"/>
      <c r="BX19" s="319"/>
      <c r="BY19" s="319"/>
      <c r="BZ19" s="319"/>
      <c r="CA19" s="319"/>
      <c r="CB19" s="319"/>
      <c r="CC19" s="319"/>
      <c r="CD19" s="319"/>
      <c r="CE19" s="319"/>
      <c r="CF19" s="319"/>
      <c r="CG19" s="319"/>
      <c r="CH19" s="319"/>
      <c r="CI19" s="319"/>
      <c r="CJ19" s="319"/>
      <c r="CK19" s="319"/>
      <c r="CL19" s="319"/>
      <c r="CM19" s="319"/>
      <c r="CN19" s="319"/>
      <c r="CO19" s="319"/>
      <c r="CP19" s="319"/>
      <c r="CQ19" s="319"/>
      <c r="CR19" s="319"/>
    </row>
    <row r="20" spans="1:102" s="320" customFormat="1" ht="185.25" x14ac:dyDescent="0.25">
      <c r="A20" s="463" t="s">
        <v>998</v>
      </c>
      <c r="B20" s="464" t="s">
        <v>753</v>
      </c>
      <c r="C20" s="465" t="s">
        <v>605</v>
      </c>
      <c r="D20" s="466" t="s">
        <v>620</v>
      </c>
      <c r="E20" s="467" t="s">
        <v>999</v>
      </c>
      <c r="F20" s="494" t="s">
        <v>1099</v>
      </c>
      <c r="G20" s="467" t="s">
        <v>1000</v>
      </c>
      <c r="H20" s="492" t="s">
        <v>233</v>
      </c>
      <c r="I20" s="492" t="s">
        <v>729</v>
      </c>
      <c r="J20" s="493">
        <v>4000</v>
      </c>
      <c r="K20" s="490" t="str">
        <f t="shared" ref="K20" si="47">IF(J20&lt;=0,"",IF(J20&lt;=2,"Muy Baja",IF(J20&lt;=24,"Baja",IF(J20&lt;=500,"Media",IF(J20&lt;=5000,"Alta","Muy Alta")))))</f>
        <v>Alta</v>
      </c>
      <c r="L20" s="488">
        <f t="shared" ref="L20" si="48">IF(K20="","",IF(K20="Muy Baja",0.2,IF(K20="Baja",0.4,IF(K20="Media",0.6,IF(K20="Alta",0.8,IF(K20="Muy Alta",1,))))))</f>
        <v>0.8</v>
      </c>
      <c r="M20" s="490">
        <v>5</v>
      </c>
      <c r="N20" s="488" t="str">
        <f>IF(M20=1,"INSIGNIFICANTE",IF(M20=2,"Menor",IF(M20=3,"Moderado",IF(M20=4,"MAYOR",IF(M20=5,"Catastrófico",IF(M20=""," "))))))</f>
        <v>Catastrófico</v>
      </c>
      <c r="O20" s="488">
        <f t="shared" ref="O20" si="49">IF(N20="","",IF(N20="Leve",0.2,IF(N20="Menor",0.4,IF(N20="Moderado",0.6,IF(N20="Mayor",0.8,IF(N20="Catastrófico",1,))))))</f>
        <v>1</v>
      </c>
      <c r="P20" s="491" t="str">
        <f t="shared" ref="P20" si="50">IF(OR(AND(K20="Muy Baja",N20="Leve"),AND(K20="Muy Baja",K20="Menor"),AND(K20="Baja",N20="Leve")),"Bajo",IF(OR(AND(K20="Muy baja",N20="Moderado"),AND(K20="Baja",N20="Menor"),AND(K20="Baja",N20="Moderado"),AND(K20="Media",N20="Leve"),AND(K20="Media",N20="Menor"),AND(K20="Media",N20="Moderado"),AND(K20="Alta",N20="Leve"),AND(K20="Alta",N20="Menor")),"Moderado",IF(OR(AND(K20="Muy Baja",N20="Mayor"),AND(K20="Baja",N20="Mayor"),AND(K20="Media",N20="Mayor"),AND(K20="Alta",N20="Moderado"),AND(K20="Alta",N20="Mayor"),AND(K20="Muy Alta",N20="Leve"),AND(K20="Muy Alta",N20="Menor"),AND(K20="Muy Alta",N20="Moderado"),AND(K20="Muy Alta",N20="Mayor")),"Alto",IF(OR(AND(K20="Muy Baja",N20="Catastrófico"),AND(K20="Baja",N20="Catastrófico"),AND(K20="Media",N20="Catastrófico"),AND(K20="Alta",N20="Catastrófico"),AND(K20="Muy Alta",N20="Catastrófico")),"Extremo",""))))</f>
        <v>Extremo</v>
      </c>
      <c r="Q20" s="235">
        <v>1</v>
      </c>
      <c r="R20" s="322" t="s">
        <v>1001</v>
      </c>
      <c r="S20" s="305" t="s">
        <v>293</v>
      </c>
      <c r="T20" s="305" t="s">
        <v>1002</v>
      </c>
      <c r="U20" s="307" t="str">
        <f t="shared" si="1"/>
        <v>Probabilidad</v>
      </c>
      <c r="V20" s="259" t="s">
        <v>13</v>
      </c>
      <c r="W20" s="259" t="s">
        <v>8</v>
      </c>
      <c r="X20" s="260" t="str">
        <f t="shared" ref="X20:X21" si="51">IF(AND(V20="Preventivo",W20="Automático"),"50%",IF(AND(V20="Preventivo",W20="Manual"),"40%",IF(AND(V20="Detectivo",W20="Automático"),"40%",IF(AND(V20="Detectivo",W20="Manual"),"30%",IF(AND(V20="Correctivo",W20="Automático"),"35%",IF(AND(V20="Correctivo",W20="Manual"),"25%",""))))))</f>
        <v>40%</v>
      </c>
      <c r="Y20" s="259" t="s">
        <v>18</v>
      </c>
      <c r="Z20" s="259" t="s">
        <v>21</v>
      </c>
      <c r="AA20" s="259" t="s">
        <v>103</v>
      </c>
      <c r="AB20" s="261">
        <f>IFERROR(IF(U20="Probabilidad",(L20-(+L20*X20)),IF(U20="Impacto",L20,"")),"")</f>
        <v>0.48</v>
      </c>
      <c r="AC20" s="262" t="str">
        <f>IFERROR(IF(AB20="","",IF(AB20&lt;=0.2,"Muy Baja",IF(AB20&lt;=0.4,"Baja",IF(AB20&lt;=0.6,"Media",IF(AB20&lt;=0.8,"Alta","Muy Alta"))))),"")</f>
        <v>Media</v>
      </c>
      <c r="AD20" s="260">
        <f>+AB20</f>
        <v>0.48</v>
      </c>
      <c r="AE20" s="262" t="str">
        <f>IFERROR(IF(AF20="","",IF(AF20&lt;=0.2,"Leve",IF(AF20&lt;=0.4,"Menor",IF(AF20&lt;=0.6,"Moderado",IF(AF20&lt;=0.8,"Mayor","Catastrófico"))))),"")</f>
        <v>Catastrófico</v>
      </c>
      <c r="AF20" s="260">
        <f>IFERROR(IF(U20="Impacto",(O20-(+O20*X20)),IF(U20="Probabilidad",O20,"")),"")</f>
        <v>1</v>
      </c>
      <c r="AG20" s="264" t="str">
        <f>IFERROR(IF(OR(AND(AC20="Muy Baja",AE20="Leve"),AND(AC20="Muy Baja",AE20="Menor"),AND(AC20="Baja",AE20="Leve")),"Bajo",IF(OR(AND(AC20="Muy baja",AE20="Moderado"),AND(AC20="Baja",AE20="Menor"),AND(AC20="Baja",AE20="Moderado"),AND(AC20="Media",AE20="Leve"),AND(AC20="Media",AE20="Menor"),AND(AC20="Media",AE20="Moderado"),AND(AC20="Alta",AE20="Leve"),AND(AC20="Alta",AE20="Menor")),"Moderado",IF(OR(AND(AC20="Muy Baja",AE20="Mayor"),AND(AC20="Baja",AE20="Mayor"),AND(AC20="Media",AE20="Mayor"),AND(AC20="Alta",AE20="Moderado"),AND(AC20="Alta",AE20="Mayor"),AND(AC20="Muy Alta",AE20="Leve"),AND(AC20="Muy Alta",AE20="Menor"),AND(AC20="Muy Alta",AE20="Moderado"),AND(AC20="Muy Alta",AE20="Mayor")),"Alto",IF(OR(AND(AC20="Muy Baja",AE20="Catastrófico"),AND(AC20="Baja",AE20="Catastrófico"),AND(AC20="Media",AE20="Catastrófico"),AND(AC20="Alta",AE20="Catastrófico"),AND(AC20="Muy Alta",AE20="Catastrófico")),"Extremo","")))),"")</f>
        <v>Extremo</v>
      </c>
      <c r="AH20" s="259" t="s">
        <v>26</v>
      </c>
      <c r="AI20" s="307">
        <v>0</v>
      </c>
      <c r="AJ20" s="307">
        <v>0</v>
      </c>
      <c r="AK20" s="307">
        <v>0</v>
      </c>
      <c r="AL20" s="307">
        <v>0</v>
      </c>
      <c r="AM20" s="306"/>
      <c r="AN20" s="306"/>
      <c r="AO20" s="245"/>
      <c r="AP20" s="319"/>
      <c r="AQ20" s="319"/>
      <c r="AR20" s="319"/>
      <c r="AS20" s="319"/>
      <c r="AT20" s="319"/>
      <c r="AU20" s="319"/>
      <c r="AV20" s="319"/>
      <c r="AW20" s="319"/>
      <c r="AX20" s="319"/>
      <c r="AY20" s="319"/>
      <c r="AZ20" s="319"/>
      <c r="BA20" s="319"/>
      <c r="BB20" s="319"/>
      <c r="BC20" s="319"/>
      <c r="BD20" s="319"/>
      <c r="BE20" s="319"/>
      <c r="BF20" s="319"/>
      <c r="BG20" s="319"/>
      <c r="BH20" s="319"/>
      <c r="BI20" s="319"/>
      <c r="BJ20" s="319"/>
      <c r="BK20" s="319"/>
      <c r="BL20" s="319"/>
      <c r="BM20" s="319"/>
      <c r="BN20" s="319"/>
      <c r="BO20" s="319"/>
      <c r="BP20" s="319"/>
      <c r="BQ20" s="319"/>
      <c r="BR20" s="319"/>
      <c r="BS20" s="319"/>
      <c r="BT20" s="319"/>
      <c r="BU20" s="319"/>
      <c r="BV20" s="319"/>
      <c r="BW20" s="319"/>
      <c r="BX20" s="319"/>
      <c r="BY20" s="319"/>
      <c r="BZ20" s="319"/>
      <c r="CA20" s="319"/>
      <c r="CB20" s="319"/>
      <c r="CC20" s="319"/>
      <c r="CD20" s="319"/>
      <c r="CE20" s="319"/>
      <c r="CF20" s="319"/>
      <c r="CG20" s="319"/>
      <c r="CH20" s="319"/>
      <c r="CI20" s="319"/>
      <c r="CJ20" s="319"/>
      <c r="CK20" s="319"/>
      <c r="CL20" s="319"/>
      <c r="CM20" s="319"/>
      <c r="CN20" s="319"/>
      <c r="CO20" s="319"/>
      <c r="CP20" s="319"/>
      <c r="CQ20" s="319"/>
      <c r="CR20" s="319"/>
    </row>
    <row r="21" spans="1:102" s="321" customFormat="1" ht="177" customHeight="1" x14ac:dyDescent="0.25">
      <c r="A21" s="463"/>
      <c r="B21" s="464"/>
      <c r="C21" s="465"/>
      <c r="D21" s="466"/>
      <c r="E21" s="467"/>
      <c r="F21" s="494"/>
      <c r="G21" s="467"/>
      <c r="H21" s="492"/>
      <c r="I21" s="492"/>
      <c r="J21" s="493"/>
      <c r="K21" s="490"/>
      <c r="L21" s="488"/>
      <c r="M21" s="490"/>
      <c r="N21" s="488"/>
      <c r="O21" s="488"/>
      <c r="P21" s="491"/>
      <c r="Q21" s="235">
        <v>2</v>
      </c>
      <c r="R21" s="323" t="s">
        <v>1003</v>
      </c>
      <c r="S21" s="305" t="s">
        <v>293</v>
      </c>
      <c r="T21" s="305" t="s">
        <v>1004</v>
      </c>
      <c r="U21" s="307" t="str">
        <f t="shared" si="1"/>
        <v>Probabilidad</v>
      </c>
      <c r="V21" s="259" t="s">
        <v>13</v>
      </c>
      <c r="W21" s="259" t="s">
        <v>8</v>
      </c>
      <c r="X21" s="260" t="str">
        <f t="shared" si="51"/>
        <v>40%</v>
      </c>
      <c r="Y21" s="259" t="s">
        <v>18</v>
      </c>
      <c r="Z21" s="259" t="s">
        <v>21</v>
      </c>
      <c r="AA21" s="259" t="s">
        <v>103</v>
      </c>
      <c r="AB21" s="261">
        <f>IFERROR(IF(AND(U20="Probabilidad",U21="Probabilidad"),(AD20-(+AD20*X21)),IF(U21="Probabilidad",(L20-(+L20*X21)),IF(U21="Impacto",AD20,""))),"")</f>
        <v>0.28799999999999998</v>
      </c>
      <c r="AC21" s="262" t="str">
        <f t="shared" ref="AC21:AC22" si="52">IFERROR(IF(AB21="","",IF(AB21&lt;=0.2,"Muy Baja",IF(AB21&lt;=0.4,"Baja",IF(AB21&lt;=0.6,"Media",IF(AB21&lt;=0.8,"Alta","Muy Alta"))))),"")</f>
        <v>Baja</v>
      </c>
      <c r="AD21" s="260">
        <f t="shared" ref="AD21:AD22" si="53">+AB21</f>
        <v>0.28799999999999998</v>
      </c>
      <c r="AE21" s="262" t="str">
        <f t="shared" ref="AE21:AE22" si="54">IFERROR(IF(AF21="","",IF(AF21&lt;=0.2,"Leve",IF(AF21&lt;=0.4,"Menor",IF(AF21&lt;=0.6,"Moderado",IF(AF21&lt;=0.8,"Mayor","Catastrófico"))))),"")</f>
        <v>Catastrófico</v>
      </c>
      <c r="AF21" s="260">
        <f>IFERROR(IF(AND(U20="Impacto",U21="Impacto"),(AF20-(+AF20*X21)),IF(U21="Impacto",($O$7-(+$O$7*X21)),IF(U21="Probabilidad",AF20,""))),"")</f>
        <v>1</v>
      </c>
      <c r="AG21" s="264" t="str">
        <f t="shared" ref="AG21:AG22" si="55">IFERROR(IF(OR(AND(AC21="Muy Baja",AE21="Leve"),AND(AC21="Muy Baja",AE21="Menor"),AND(AC21="Baja",AE21="Leve")),"Bajo",IF(OR(AND(AC21="Muy baja",AE21="Moderado"),AND(AC21="Baja",AE21="Menor"),AND(AC21="Baja",AE21="Moderado"),AND(AC21="Media",AE21="Leve"),AND(AC21="Media",AE21="Menor"),AND(AC21="Media",AE21="Moderado"),AND(AC21="Alta",AE21="Leve"),AND(AC21="Alta",AE21="Menor")),"Moderado",IF(OR(AND(AC21="Muy Baja",AE21="Mayor"),AND(AC21="Baja",AE21="Mayor"),AND(AC21="Media",AE21="Mayor"),AND(AC21="Alta",AE21="Moderado"),AND(AC21="Alta",AE21="Mayor"),AND(AC21="Muy Alta",AE21="Leve"),AND(AC21="Muy Alta",AE21="Menor"),AND(AC21="Muy Alta",AE21="Moderado"),AND(AC21="Muy Alta",AE21="Mayor")),"Alto",IF(OR(AND(AC21="Muy Baja",AE21="Catastrófico"),AND(AC21="Baja",AE21="Catastrófico"),AND(AC21="Media",AE21="Catastrófico"),AND(AC21="Alta",AE21="Catastrófico"),AND(AC21="Muy Alta",AE21="Catastrófico")),"Extremo","")))),"")</f>
        <v>Extremo</v>
      </c>
      <c r="AH21" s="259" t="s">
        <v>26</v>
      </c>
      <c r="AI21" s="307">
        <v>11</v>
      </c>
      <c r="AJ21" s="307">
        <v>3</v>
      </c>
      <c r="AK21" s="307">
        <v>4</v>
      </c>
      <c r="AL21" s="307">
        <v>4</v>
      </c>
      <c r="AM21" s="246"/>
      <c r="AN21" s="246"/>
      <c r="AO21" s="245"/>
      <c r="AP21" s="319"/>
      <c r="AQ21" s="319"/>
      <c r="AR21" s="319"/>
      <c r="AS21" s="319"/>
      <c r="AT21" s="319"/>
      <c r="AU21" s="319"/>
      <c r="AV21" s="319"/>
      <c r="AW21" s="319"/>
      <c r="AX21" s="319"/>
      <c r="AY21" s="319"/>
      <c r="AZ21" s="319"/>
      <c r="BA21" s="319"/>
      <c r="BB21" s="319"/>
      <c r="BC21" s="319"/>
      <c r="BD21" s="319"/>
      <c r="BE21" s="319"/>
      <c r="BF21" s="319"/>
      <c r="BG21" s="319"/>
      <c r="BH21" s="319"/>
      <c r="BI21" s="319"/>
      <c r="BJ21" s="319"/>
      <c r="BK21" s="319"/>
      <c r="BL21" s="319"/>
      <c r="BM21" s="319"/>
      <c r="BN21" s="319"/>
      <c r="BO21" s="319"/>
      <c r="BP21" s="319"/>
      <c r="BQ21" s="319"/>
      <c r="BR21" s="319"/>
      <c r="BS21" s="319"/>
      <c r="BT21" s="319"/>
      <c r="BU21" s="319"/>
      <c r="BV21" s="319"/>
      <c r="BW21" s="319"/>
      <c r="BX21" s="319"/>
      <c r="BY21" s="319"/>
      <c r="BZ21" s="319"/>
      <c r="CA21" s="319"/>
      <c r="CB21" s="319"/>
      <c r="CC21" s="319"/>
      <c r="CD21" s="319"/>
      <c r="CE21" s="319"/>
      <c r="CF21" s="319"/>
      <c r="CG21" s="319"/>
      <c r="CH21" s="319"/>
      <c r="CI21" s="319"/>
      <c r="CJ21" s="319"/>
      <c r="CK21" s="319"/>
      <c r="CL21" s="319"/>
      <c r="CM21" s="319"/>
      <c r="CN21" s="319"/>
      <c r="CO21" s="319"/>
      <c r="CP21" s="319"/>
      <c r="CQ21" s="319"/>
      <c r="CR21" s="319"/>
    </row>
    <row r="22" spans="1:102" s="321" customFormat="1" ht="242.25" x14ac:dyDescent="0.25">
      <c r="A22" s="463"/>
      <c r="B22" s="464"/>
      <c r="C22" s="465"/>
      <c r="D22" s="466"/>
      <c r="E22" s="467"/>
      <c r="F22" s="494"/>
      <c r="G22" s="467"/>
      <c r="H22" s="492"/>
      <c r="I22" s="492"/>
      <c r="J22" s="493"/>
      <c r="K22" s="490"/>
      <c r="L22" s="488"/>
      <c r="M22" s="490"/>
      <c r="N22" s="488"/>
      <c r="O22" s="488"/>
      <c r="P22" s="491"/>
      <c r="Q22" s="235">
        <v>3</v>
      </c>
      <c r="R22" s="323" t="s">
        <v>1005</v>
      </c>
      <c r="S22" s="305" t="s">
        <v>293</v>
      </c>
      <c r="T22" s="305" t="s">
        <v>1006</v>
      </c>
      <c r="U22" s="307" t="str">
        <f t="shared" si="1"/>
        <v>Probabilidad</v>
      </c>
      <c r="V22" s="259" t="s">
        <v>13</v>
      </c>
      <c r="W22" s="259" t="s">
        <v>8</v>
      </c>
      <c r="X22" s="260" t="str">
        <f>IF(AND(V22="Preventivo",W22="Automático"),"50%",IF(AND(V22="Preventivo",W22="Manual"),"40%",IF(AND(V22="Detectivo",W22="Automático"),"40%",IF(AND(V22="Detectivo",W22="Manual"),"30%",IF(AND(V22="Correctivo",W22="Automático"),"35%",IF(AND(V22="Correctivo",W22="Manual"),"25%",""))))))</f>
        <v>40%</v>
      </c>
      <c r="Y22" s="259" t="s">
        <v>18</v>
      </c>
      <c r="Z22" s="259" t="s">
        <v>21</v>
      </c>
      <c r="AA22" s="259" t="s">
        <v>103</v>
      </c>
      <c r="AB22" s="261">
        <f>IFERROR(IF(AND(U21="Probabilidad",U22="Probabilidad"),(AD21-(+AD21*X22)),IF(AND(U21="Impacto",U22="Probabilidad"),(AD20-(+AD20*X22)),IF(U22="Impacto",AD21,""))),"")</f>
        <v>0.17279999999999998</v>
      </c>
      <c r="AC22" s="262" t="str">
        <f t="shared" si="52"/>
        <v>Muy Baja</v>
      </c>
      <c r="AD22" s="260">
        <f t="shared" si="53"/>
        <v>0.17279999999999998</v>
      </c>
      <c r="AE22" s="262" t="str">
        <f t="shared" si="54"/>
        <v>Catastrófico</v>
      </c>
      <c r="AF22" s="260">
        <f t="shared" ref="AF22" si="56">IFERROR(IF(AND(U21="Impacto",U22="Impacto"),(AF21-(+AF21*X22)),IF(U22="Impacto",($O$7-(+$O$7*X22)),IF(U22="Probabilidad",AF21,""))),"")</f>
        <v>1</v>
      </c>
      <c r="AG22" s="264" t="str">
        <f t="shared" si="55"/>
        <v>Extremo</v>
      </c>
      <c r="AH22" s="259" t="s">
        <v>26</v>
      </c>
      <c r="AI22" s="307">
        <v>11</v>
      </c>
      <c r="AJ22" s="307">
        <v>3</v>
      </c>
      <c r="AK22" s="307">
        <v>4</v>
      </c>
      <c r="AL22" s="307">
        <v>4</v>
      </c>
      <c r="AM22" s="246"/>
      <c r="AN22" s="246"/>
      <c r="AO22" s="245"/>
      <c r="AP22" s="319"/>
      <c r="AQ22" s="319"/>
      <c r="AR22" s="319"/>
      <c r="AS22" s="319"/>
      <c r="AT22" s="319"/>
      <c r="AU22" s="319"/>
      <c r="AV22" s="319"/>
      <c r="AW22" s="319"/>
      <c r="AX22" s="319"/>
      <c r="AY22" s="319"/>
      <c r="AZ22" s="319"/>
      <c r="BA22" s="319"/>
      <c r="BB22" s="319"/>
      <c r="BC22" s="319"/>
      <c r="BD22" s="319"/>
      <c r="BE22" s="319"/>
      <c r="BF22" s="319"/>
      <c r="BG22" s="319"/>
      <c r="BH22" s="319"/>
      <c r="BI22" s="319"/>
      <c r="BJ22" s="319"/>
      <c r="BK22" s="319"/>
      <c r="BL22" s="319"/>
      <c r="BM22" s="319"/>
      <c r="BN22" s="319"/>
      <c r="BO22" s="319"/>
      <c r="BP22" s="319"/>
      <c r="BQ22" s="319"/>
      <c r="BR22" s="319"/>
      <c r="BS22" s="319"/>
      <c r="BT22" s="319"/>
      <c r="BU22" s="319"/>
      <c r="BV22" s="319"/>
      <c r="BW22" s="319"/>
      <c r="BX22" s="319"/>
      <c r="BY22" s="319"/>
      <c r="BZ22" s="319"/>
      <c r="CA22" s="319"/>
      <c r="CB22" s="319"/>
      <c r="CC22" s="319"/>
      <c r="CD22" s="319"/>
      <c r="CE22" s="319"/>
      <c r="CF22" s="319"/>
      <c r="CG22" s="319"/>
      <c r="CH22" s="319"/>
      <c r="CI22" s="319"/>
      <c r="CJ22" s="319"/>
      <c r="CK22" s="319"/>
      <c r="CL22" s="319"/>
      <c r="CM22" s="319"/>
      <c r="CN22" s="319"/>
      <c r="CO22" s="319"/>
      <c r="CP22" s="319"/>
      <c r="CQ22" s="319"/>
      <c r="CR22" s="319"/>
    </row>
    <row r="23" spans="1:102" s="320" customFormat="1" ht="263.45" customHeight="1" x14ac:dyDescent="0.25">
      <c r="A23" s="281" t="s">
        <v>1029</v>
      </c>
      <c r="B23" s="282" t="s">
        <v>753</v>
      </c>
      <c r="C23" s="211" t="s">
        <v>610</v>
      </c>
      <c r="D23" s="244" t="s">
        <v>619</v>
      </c>
      <c r="E23" s="306" t="s">
        <v>1030</v>
      </c>
      <c r="F23" s="306" t="s">
        <v>673</v>
      </c>
      <c r="G23" s="306" t="s">
        <v>1031</v>
      </c>
      <c r="H23" s="245" t="s">
        <v>233</v>
      </c>
      <c r="I23" s="283" t="s">
        <v>1032</v>
      </c>
      <c r="J23" s="247">
        <v>4800</v>
      </c>
      <c r="K23" s="284" t="str">
        <f t="shared" ref="K23" si="57">IF(J23&lt;=0,"",IF(J23&lt;=2,"Muy Baja",IF(J23&lt;=24,"Baja",IF(J23&lt;=500,"Media",IF(J23&lt;=5000,"Alta","Muy Alta")))))</f>
        <v>Alta</v>
      </c>
      <c r="L23" s="248">
        <f t="shared" ref="L23" si="58">IF(K23="","",IF(K23="Muy Baja",0.2,IF(K23="Baja",0.4,IF(K23="Media",0.6,IF(K23="Alta",0.8,IF(K23="Muy Alta",1,))))))</f>
        <v>0.8</v>
      </c>
      <c r="M23" s="284">
        <v>4</v>
      </c>
      <c r="N23" s="248" t="str">
        <f>IF(M23=1,"INSIGNIFICANTE",IF(M23=2,"Menor",IF(M23=3,"Moderado",IF(M23=4,"Mayor",IF(M23=5,"Catastrófico",IF(M23=""," "))))))</f>
        <v>Mayor</v>
      </c>
      <c r="O23" s="248">
        <f t="shared" ref="O23" si="59">IF(N23="","",IF(N23="Leve",0.2,IF(N23="Menor",0.4,IF(N23="Moderado",0.6,IF(N23="Mayor",0.8,IF(N23="Catastrófico",1,))))))</f>
        <v>0.8</v>
      </c>
      <c r="P23" s="280" t="str">
        <f t="shared" ref="P23" si="60">IF(OR(AND(K23="Muy Baja",N23="Leve"),AND(K23="Muy Baja",K23="Menor"),AND(K23="Baja",N23="Leve")),"Bajo",IF(OR(AND(K23="Muy baja",N23="Moderado"),AND(K23="Baja",N23="Menor"),AND(K23="Baja",N23="Moderado"),AND(K23="Media",N23="Leve"),AND(K23="Media",N23="Menor"),AND(K23="Media",N23="Moderado"),AND(K23="Alta",N23="Leve"),AND(K23="Alta",N23="Menor")),"Moderado",IF(OR(AND(K23="Muy Baja",N23="Mayor"),AND(K23="Baja",N23="Mayor"),AND(K23="Media",N23="Mayor"),AND(K23="Alta",N23="Moderado"),AND(K23="Alta",N23="Mayor"),AND(K23="Muy Alta",N23="Leve"),AND(K23="Muy Alta",N23="Menor"),AND(K23="Muy Alta",N23="Moderado"),AND(K23="Muy Alta",N23="Mayor")),"Alto",IF(OR(AND(K23="Muy Baja",N23="Catastrófico"),AND(K23="Baja",N23="Catastrófico"),AND(K23="Media",N23="Catastrófico"),AND(K23="Alta",N23="Catastrófico"),AND(K23="Muy Alta",N23="Catastrófico")),"Extremo",""))))</f>
        <v>Alto</v>
      </c>
      <c r="Q23" s="235">
        <v>1</v>
      </c>
      <c r="R23" s="306" t="s">
        <v>1033</v>
      </c>
      <c r="S23" s="245" t="s">
        <v>292</v>
      </c>
      <c r="T23" s="305" t="s">
        <v>1034</v>
      </c>
      <c r="U23" s="307" t="str">
        <f t="shared" si="1"/>
        <v>Probabilidad</v>
      </c>
      <c r="V23" s="259" t="s">
        <v>13</v>
      </c>
      <c r="W23" s="259" t="s">
        <v>8</v>
      </c>
      <c r="X23" s="260" t="str">
        <f t="shared" ref="X23" si="61">IF(AND(V23="Preventivo",W23="Automático"),"50%",IF(AND(V23="Preventivo",W23="Manual"),"40%",IF(AND(V23="Detectivo",W23="Automático"),"40%",IF(AND(V23="Detectivo",W23="Manual"),"30%",IF(AND(V23="Correctivo",W23="Automático"),"35%",IF(AND(V23="Correctivo",W23="Manual"),"25%",""))))))</f>
        <v>40%</v>
      </c>
      <c r="Y23" s="259" t="s">
        <v>18</v>
      </c>
      <c r="Z23" s="259" t="s">
        <v>21</v>
      </c>
      <c r="AA23" s="259" t="s">
        <v>103</v>
      </c>
      <c r="AB23" s="261">
        <f>IFERROR(IF(U23="Probabilidad",(L23-(+L23*X23)),IF(U23="Impacto",L23,"")),"")</f>
        <v>0.48</v>
      </c>
      <c r="AC23" s="262" t="str">
        <f>IFERROR(IF(AB23="","",IF(AB23&lt;=0.2,"Muy Baja",IF(AB23&lt;=0.4,"Baja",IF(AB23&lt;=0.6,"Media",IF(AB23&lt;=0.8,"Alta","Muy Alta"))))),"")</f>
        <v>Media</v>
      </c>
      <c r="AD23" s="260">
        <f>+AB23</f>
        <v>0.48</v>
      </c>
      <c r="AE23" s="262" t="str">
        <f>IFERROR(IF(AF23="","",IF(AF23&lt;=0.2,"Leve",IF(AF23&lt;=0.4,"Menor",IF(AF23&lt;=0.6,"Moderado",IF(AF23&lt;=0.8,"Mayor","Catastrófico"))))),"")</f>
        <v>Mayor</v>
      </c>
      <c r="AF23" s="260">
        <f>IFERROR(IF(U23="Impacto",(O23-(+O23*X23)),IF(U23="Probabilidad",O23,"")),"")</f>
        <v>0.8</v>
      </c>
      <c r="AG23" s="264" t="str">
        <f>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Alto</v>
      </c>
      <c r="AH23" s="259" t="s">
        <v>26</v>
      </c>
      <c r="AI23" s="307">
        <v>4</v>
      </c>
      <c r="AJ23" s="307">
        <v>1</v>
      </c>
      <c r="AK23" s="307">
        <v>1</v>
      </c>
      <c r="AL23" s="307">
        <v>2</v>
      </c>
      <c r="AM23" s="306"/>
      <c r="AN23" s="306"/>
      <c r="AO23" s="245"/>
      <c r="AP23" s="319"/>
      <c r="AQ23" s="319"/>
      <c r="AR23" s="319"/>
      <c r="AS23" s="319"/>
      <c r="AT23" s="319"/>
      <c r="AU23" s="319"/>
      <c r="AV23" s="319"/>
      <c r="AW23" s="319"/>
      <c r="AX23" s="319"/>
      <c r="AY23" s="319"/>
      <c r="AZ23" s="319"/>
      <c r="BA23" s="319"/>
      <c r="BB23" s="319"/>
      <c r="BC23" s="319"/>
      <c r="BD23" s="319"/>
      <c r="BE23" s="319"/>
      <c r="BF23" s="319"/>
      <c r="BG23" s="319"/>
      <c r="BH23" s="319"/>
      <c r="BI23" s="319"/>
      <c r="BJ23" s="319"/>
      <c r="BK23" s="319"/>
      <c r="BL23" s="319"/>
      <c r="BM23" s="319"/>
      <c r="BN23" s="319"/>
      <c r="BO23" s="319"/>
      <c r="BP23" s="319"/>
      <c r="BQ23" s="319"/>
      <c r="BR23" s="319"/>
      <c r="BS23" s="319"/>
      <c r="BT23" s="319"/>
      <c r="BU23" s="319"/>
      <c r="BV23" s="319"/>
      <c r="BW23" s="319"/>
      <c r="BX23" s="319"/>
      <c r="BY23" s="319"/>
      <c r="BZ23" s="319"/>
      <c r="CA23" s="319"/>
      <c r="CB23" s="319"/>
      <c r="CC23" s="319"/>
      <c r="CD23" s="319"/>
      <c r="CE23" s="319"/>
      <c r="CF23" s="319"/>
      <c r="CG23" s="319"/>
      <c r="CH23" s="319"/>
      <c r="CI23" s="319"/>
      <c r="CJ23" s="319"/>
      <c r="CK23" s="319"/>
      <c r="CL23" s="319"/>
      <c r="CM23" s="319"/>
      <c r="CN23" s="319"/>
      <c r="CO23" s="319"/>
      <c r="CP23" s="319"/>
      <c r="CQ23" s="319"/>
      <c r="CR23" s="319"/>
    </row>
    <row r="24" spans="1:102" s="320" customFormat="1" ht="181.9" customHeight="1" x14ac:dyDescent="0.25">
      <c r="A24" s="463" t="s">
        <v>681</v>
      </c>
      <c r="B24" s="464" t="s">
        <v>753</v>
      </c>
      <c r="C24" s="465" t="s">
        <v>288</v>
      </c>
      <c r="D24" s="466" t="s">
        <v>619</v>
      </c>
      <c r="E24" s="467" t="s">
        <v>736</v>
      </c>
      <c r="F24" s="467" t="s">
        <v>673</v>
      </c>
      <c r="G24" s="467" t="s">
        <v>737</v>
      </c>
      <c r="H24" s="492" t="s">
        <v>233</v>
      </c>
      <c r="I24" s="492" t="s">
        <v>720</v>
      </c>
      <c r="J24" s="493">
        <v>100</v>
      </c>
      <c r="K24" s="490" t="str">
        <f t="shared" ref="K24:K28" si="62">IF(J24&lt;=0,"",IF(J24&lt;=2,"Muy Baja",IF(J24&lt;=24,"Baja",IF(J24&lt;=500,"Media",IF(J24&lt;=5000,"Alta","Muy Alta")))))</f>
        <v>Media</v>
      </c>
      <c r="L24" s="488">
        <f t="shared" ref="L24" si="63">IF(K24="","",IF(K24="Muy Baja",0.2,IF(K24="Baja",0.4,IF(K24="Media",0.6,IF(K24="Alta",0.8,IF(K24="Muy Alta",1,))))))</f>
        <v>0.6</v>
      </c>
      <c r="M24" s="490">
        <v>4</v>
      </c>
      <c r="N24" s="488" t="str">
        <f>IF(M24=1,"INSIGNIFICANTE",IF(M24=2,"Menor",IF(M24=3,"Moderado",IF(M24=4,"Mayor",IF(M24=5,"Catastrófico",IF(M24=""," "))))))</f>
        <v>Mayor</v>
      </c>
      <c r="O24" s="488">
        <f t="shared" ref="O24" si="64">IF(N24="","",IF(N24="Leve",0.2,IF(N24="Menor",0.4,IF(N24="Moderado",0.6,IF(N24="Mayor",0.8,IF(N24="Catastrófico",1,))))))</f>
        <v>0.8</v>
      </c>
      <c r="P24" s="491" t="str">
        <f t="shared" ref="P24" si="65">IF(OR(AND(K24="Muy Baja",N24="Leve"),AND(K24="Muy Baja",K24="Menor"),AND(K24="Baja",N24="Leve")),"Bajo",IF(OR(AND(K24="Muy baja",N24="Moderado"),AND(K24="Baja",N24="Menor"),AND(K24="Baja",N24="Moderado"),AND(K24="Media",N24="Leve"),AND(K24="Media",N24="Menor"),AND(K24="Media",N24="Moderado"),AND(K24="Alta",N24="Leve"),AND(K24="Alta",N24="Menor")),"Moderado",IF(OR(AND(K24="Muy Baja",N24="Mayor"),AND(K24="Baja",N24="Mayor"),AND(K24="Media",N24="Mayor"),AND(K24="Alta",N24="Moderado"),AND(K24="Alta",N24="Mayor"),AND(K24="Muy Alta",N24="Leve"),AND(K24="Muy Alta",N24="Menor"),AND(K24="Muy Alta",N24="Moderado"),AND(K24="Muy Alta",N24="Mayor")),"Alto",IF(OR(AND(K24="Muy Baja",N24="Catastrófico"),AND(K24="Baja",N24="Catastrófico"),AND(K24="Media",N24="Catastrófico"),AND(K24="Alta",N24="Catastrófico"),AND(K24="Muy Alta",N24="Catastrófico")),"Extremo",""))))</f>
        <v>Alto</v>
      </c>
      <c r="Q24" s="235">
        <v>1</v>
      </c>
      <c r="R24" s="306" t="s">
        <v>734</v>
      </c>
      <c r="S24" s="245" t="s">
        <v>292</v>
      </c>
      <c r="T24" s="305" t="s">
        <v>735</v>
      </c>
      <c r="U24" s="307" t="str">
        <f t="shared" si="1"/>
        <v>Probabilidad</v>
      </c>
      <c r="V24" s="259" t="s">
        <v>13</v>
      </c>
      <c r="W24" s="259" t="s">
        <v>8</v>
      </c>
      <c r="X24" s="260" t="str">
        <f>IF(AND(V24="Preventivo",W24="Automático"),"50%",IF(AND(V24="Preventivo",W24="Manual"),"40%",IF(AND(V24="Detectivo",W24="Automático"),"40%",IF(AND(V24="Detectivo",W24="Manual"),"30%",IF(AND(V24="Correctivo",W24="Automático"),"35%",IF(AND(V24="Correctivo",W24="Manual"),"25%",""))))))</f>
        <v>40%</v>
      </c>
      <c r="Y24" s="259" t="s">
        <v>18</v>
      </c>
      <c r="Z24" s="259" t="s">
        <v>21</v>
      </c>
      <c r="AA24" s="259" t="s">
        <v>103</v>
      </c>
      <c r="AB24" s="261">
        <f>IFERROR(IF(U24="Probabilidad",(L24-(+L24*X24)),IF(U24="Impacto",L24,"")),"")</f>
        <v>0.36</v>
      </c>
      <c r="AC24" s="262" t="str">
        <f>IFERROR(IF(AB24="","",IF(AB24&lt;=0.2,"Muy Baja",IF(AB24&lt;=0.4,"Baja",IF(AB24&lt;=0.6,"Media",IF(AB24&lt;=0.8,"Alta","Muy Alta"))))),"")</f>
        <v>Baja</v>
      </c>
      <c r="AD24" s="260">
        <f>+AB24</f>
        <v>0.36</v>
      </c>
      <c r="AE24" s="262" t="str">
        <f>IFERROR(IF(AF24="","",IF(AF24&lt;=0.2,"Leve",IF(AF24&lt;=0.4,"Menor",IF(AF24&lt;=0.6,"Moderado",IF(AF24&lt;=0.8,"Mayor","Catastrófico"))))),"")</f>
        <v>Mayor</v>
      </c>
      <c r="AF24" s="260">
        <f>IFERROR(IF(U24="Impacto",(O24-(+O24*X24)),IF(U24="Probabilidad",O24,"")),"")</f>
        <v>0.8</v>
      </c>
      <c r="AG24" s="264" t="str">
        <f>IFERROR(IF(OR(AND(AC24="Muy Baja",AE24="Leve"),AND(AC24="Muy Baja",AE24="Menor"),AND(AC24="Baja",AE24="Leve")),"Bajo",IF(OR(AND(AC24="Muy baja",AE24="Moderado"),AND(AC24="Baja",AE24="Menor"),AND(AC24="Baja",AE24="Moderado"),AND(AC24="Media",AE24="Leve"),AND(AC24="Media",AE24="Menor"),AND(AC24="Media",AE24="Moderado"),AND(AC24="Alta",AE24="Leve"),AND(AC24="Alta",AE24="Menor")),"Moderado",IF(OR(AND(AC24="Muy Baja",AE24="Mayor"),AND(AC24="Baja",AE24="Mayor"),AND(AC24="Media",AE24="Mayor"),AND(AC24="Alta",AE24="Moderado"),AND(AC24="Alta",AE24="Mayor"),AND(AC24="Muy Alta",AE24="Leve"),AND(AC24="Muy Alta",AE24="Menor"),AND(AC24="Muy Alta",AE24="Moderado"),AND(AC24="Muy Alta",AE24="Mayor")),"Alto",IF(OR(AND(AC24="Muy Baja",AE24="Catastrófico"),AND(AC24="Baja",AE24="Catastrófico"),AND(AC24="Media",AE24="Catastrófico"),AND(AC24="Alta",AE24="Catastrófico"),AND(AC24="Muy Alta",AE24="Catastrófico")),"Extremo","")))),"")</f>
        <v>Alto</v>
      </c>
      <c r="AH24" s="259" t="s">
        <v>26</v>
      </c>
      <c r="AI24" s="234">
        <v>0</v>
      </c>
      <c r="AJ24" s="234">
        <v>0</v>
      </c>
      <c r="AK24" s="234">
        <v>0</v>
      </c>
      <c r="AL24" s="234">
        <v>0</v>
      </c>
      <c r="AM24" s="306"/>
      <c r="AN24" s="306"/>
      <c r="AO24" s="245"/>
      <c r="AP24" s="319"/>
      <c r="AQ24" s="319"/>
      <c r="AR24" s="319"/>
      <c r="AS24" s="319"/>
      <c r="AT24" s="319"/>
      <c r="AU24" s="319"/>
      <c r="AV24" s="319"/>
      <c r="AW24" s="319"/>
      <c r="AX24" s="319"/>
      <c r="AY24" s="319"/>
      <c r="AZ24" s="319"/>
      <c r="BA24" s="319"/>
      <c r="BB24" s="319"/>
      <c r="BC24" s="319"/>
      <c r="BD24" s="319"/>
      <c r="BE24" s="319"/>
      <c r="BF24" s="319"/>
      <c r="BG24" s="319"/>
      <c r="BH24" s="319"/>
      <c r="BI24" s="319"/>
      <c r="BJ24" s="319"/>
      <c r="BK24" s="319"/>
      <c r="BL24" s="319"/>
      <c r="BM24" s="319"/>
      <c r="BN24" s="319"/>
      <c r="BO24" s="319"/>
      <c r="BP24" s="319"/>
      <c r="BQ24" s="319"/>
      <c r="BR24" s="319"/>
      <c r="BS24" s="319"/>
      <c r="BT24" s="319"/>
      <c r="BU24" s="319"/>
      <c r="BV24" s="319"/>
      <c r="BW24" s="319"/>
      <c r="BX24" s="319"/>
      <c r="BY24" s="319"/>
      <c r="BZ24" s="319"/>
      <c r="CA24" s="319"/>
      <c r="CB24" s="319"/>
      <c r="CC24" s="319"/>
      <c r="CD24" s="319"/>
      <c r="CE24" s="319"/>
      <c r="CF24" s="319"/>
      <c r="CG24" s="319"/>
      <c r="CH24" s="319"/>
      <c r="CI24" s="319"/>
      <c r="CJ24" s="319"/>
      <c r="CK24" s="319"/>
      <c r="CL24" s="319"/>
      <c r="CM24" s="319"/>
      <c r="CN24" s="319"/>
      <c r="CO24" s="319"/>
      <c r="CP24" s="319"/>
      <c r="CQ24" s="319"/>
      <c r="CR24" s="319"/>
    </row>
    <row r="25" spans="1:102" s="321" customFormat="1" ht="99.75" x14ac:dyDescent="0.25">
      <c r="A25" s="463"/>
      <c r="B25" s="464"/>
      <c r="C25" s="465"/>
      <c r="D25" s="466"/>
      <c r="E25" s="467"/>
      <c r="F25" s="467"/>
      <c r="G25" s="467"/>
      <c r="H25" s="492"/>
      <c r="I25" s="492"/>
      <c r="J25" s="493"/>
      <c r="K25" s="490"/>
      <c r="L25" s="488"/>
      <c r="M25" s="490"/>
      <c r="N25" s="488"/>
      <c r="O25" s="488"/>
      <c r="P25" s="491"/>
      <c r="Q25" s="235">
        <v>2</v>
      </c>
      <c r="R25" s="322" t="s">
        <v>682</v>
      </c>
      <c r="S25" s="305" t="s">
        <v>293</v>
      </c>
      <c r="T25" s="305" t="s">
        <v>683</v>
      </c>
      <c r="U25" s="307" t="str">
        <f t="shared" si="1"/>
        <v>Probabilidad</v>
      </c>
      <c r="V25" s="259" t="s">
        <v>13</v>
      </c>
      <c r="W25" s="259" t="s">
        <v>8</v>
      </c>
      <c r="X25" s="260" t="str">
        <f>IF(AND(V25="Preventivo",W25="Automático"),"50%",IF(AND(V25="Preventivo",W25="Manual"),"40%",IF(AND(V25="Detectivo",W25="Automático"),"40%",IF(AND(V25="Detectivo",W25="Manual"),"30%",IF(AND(V25="Correctivo",W25="Automático"),"35%",IF(AND(V25="Correctivo",W25="Manual"),"25%",""))))))</f>
        <v>40%</v>
      </c>
      <c r="Y25" s="259" t="s">
        <v>18</v>
      </c>
      <c r="Z25" s="259" t="s">
        <v>21</v>
      </c>
      <c r="AA25" s="259" t="s">
        <v>103</v>
      </c>
      <c r="AB25" s="261">
        <f>IFERROR(IF(AND(U24="Probabilidad",U25="Probabilidad"),(AD24-(+AD24*X25)),IF(U25="Probabilidad",(L24-(+L24*X25)),IF(U25="Impacto",AD24,""))),"")</f>
        <v>0.216</v>
      </c>
      <c r="AC25" s="262" t="str">
        <f t="shared" ref="AC25" si="66">IFERROR(IF(AB25="","",IF(AB25&lt;=0.2,"Muy Baja",IF(AB25&lt;=0.4,"Baja",IF(AB25&lt;=0.6,"Media",IF(AB25&lt;=0.8,"Alta","Muy Alta"))))),"")</f>
        <v>Baja</v>
      </c>
      <c r="AD25" s="260">
        <f t="shared" ref="AD25" si="67">+AB25</f>
        <v>0.216</v>
      </c>
      <c r="AE25" s="262" t="str">
        <f t="shared" ref="AE25" si="68">IFERROR(IF(AF25="","",IF(AF25&lt;=0.2,"Leve",IF(AF25&lt;=0.4,"Menor",IF(AF25&lt;=0.6,"Moderado",IF(AF25&lt;=0.8,"Mayor","Catastrófico"))))),"")</f>
        <v>Mayor</v>
      </c>
      <c r="AF25" s="260">
        <f>IFERROR(IF(AND(U24="Impacto",U25="Impacto"),(AF24-(+AF24*X25)),IF(U25="Impacto",($O$24-(+$O$24*X25)),IF(U25="Probabilidad",AF24,""))),"")</f>
        <v>0.8</v>
      </c>
      <c r="AG25" s="264" t="str">
        <f t="shared" ref="AG25" si="69">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Alto</v>
      </c>
      <c r="AH25" s="259" t="s">
        <v>26</v>
      </c>
      <c r="AI25" s="234">
        <v>0</v>
      </c>
      <c r="AJ25" s="234">
        <v>0</v>
      </c>
      <c r="AK25" s="234">
        <v>0</v>
      </c>
      <c r="AL25" s="234">
        <v>0</v>
      </c>
      <c r="AM25" s="246"/>
      <c r="AN25" s="246"/>
      <c r="AO25" s="245"/>
      <c r="AP25" s="319"/>
      <c r="AQ25" s="319"/>
      <c r="AR25" s="319"/>
      <c r="AS25" s="319"/>
      <c r="AT25" s="319"/>
      <c r="AU25" s="319"/>
      <c r="AV25" s="319"/>
      <c r="AW25" s="319"/>
      <c r="AX25" s="319"/>
      <c r="AY25" s="319"/>
      <c r="AZ25" s="319"/>
      <c r="BA25" s="319"/>
      <c r="BB25" s="319"/>
      <c r="BC25" s="319"/>
      <c r="BD25" s="319"/>
      <c r="BE25" s="319"/>
      <c r="BF25" s="319"/>
      <c r="BG25" s="319"/>
      <c r="BH25" s="319"/>
      <c r="BI25" s="319"/>
      <c r="BJ25" s="319"/>
      <c r="BK25" s="319"/>
      <c r="BL25" s="319"/>
      <c r="BM25" s="319"/>
      <c r="BN25" s="319"/>
      <c r="BO25" s="319"/>
      <c r="BP25" s="319"/>
      <c r="BQ25" s="319"/>
      <c r="BR25" s="319"/>
      <c r="BS25" s="319"/>
      <c r="BT25" s="319"/>
      <c r="BU25" s="319"/>
      <c r="BV25" s="319"/>
      <c r="BW25" s="319"/>
      <c r="BX25" s="319"/>
      <c r="BY25" s="319"/>
      <c r="BZ25" s="319"/>
      <c r="CA25" s="319"/>
      <c r="CB25" s="319"/>
      <c r="CC25" s="319"/>
      <c r="CD25" s="319"/>
      <c r="CE25" s="319"/>
      <c r="CF25" s="319"/>
      <c r="CG25" s="319"/>
      <c r="CH25" s="319"/>
      <c r="CI25" s="319"/>
      <c r="CJ25" s="319"/>
      <c r="CK25" s="319"/>
      <c r="CL25" s="319"/>
      <c r="CM25" s="319"/>
      <c r="CN25" s="319"/>
      <c r="CO25" s="319"/>
      <c r="CP25" s="319"/>
      <c r="CQ25" s="319"/>
      <c r="CR25" s="319"/>
    </row>
    <row r="26" spans="1:102" s="320" customFormat="1" ht="324.60000000000002" customHeight="1" x14ac:dyDescent="0.25">
      <c r="A26" s="281" t="s">
        <v>678</v>
      </c>
      <c r="B26" s="282" t="s">
        <v>753</v>
      </c>
      <c r="C26" s="211" t="s">
        <v>611</v>
      </c>
      <c r="D26" s="244" t="s">
        <v>620</v>
      </c>
      <c r="E26" s="306" t="s">
        <v>848</v>
      </c>
      <c r="F26" s="306" t="s">
        <v>673</v>
      </c>
      <c r="G26" s="306" t="s">
        <v>769</v>
      </c>
      <c r="H26" s="245" t="s">
        <v>233</v>
      </c>
      <c r="I26" s="245" t="s">
        <v>729</v>
      </c>
      <c r="J26" s="247">
        <v>1000</v>
      </c>
      <c r="K26" s="284" t="str">
        <f t="shared" si="62"/>
        <v>Alta</v>
      </c>
      <c r="L26" s="248">
        <f t="shared" ref="L26" si="70">IF(K26="","",IF(K26="Muy Baja",0.2,IF(K26="Baja",0.4,IF(K26="Media",0.6,IF(K26="Alta",0.8,IF(K26="Muy Alta",1,))))))</f>
        <v>0.8</v>
      </c>
      <c r="M26" s="284">
        <v>4</v>
      </c>
      <c r="N26" s="248" t="str">
        <f>IF(M26=1,"INSIGNIFICANTE",IF(M26=2,"Menor",IF(M26=3,"Moderado",IF(M26=4,"MAYOR",IF(M26=5,"Catastrófico",IF(M26=""," "))))))</f>
        <v>MAYOR</v>
      </c>
      <c r="O26" s="248">
        <f>IF(N26="","",IF(N26="Leve",0.2,IF(N26="Menor",0.4,IF(N26="Moderado",0.6,IF(N26="Mayor",0.8,IF(N26="Catastrófico",1,))))))</f>
        <v>0.8</v>
      </c>
      <c r="P26" s="280" t="str">
        <f>IF(OR(AND(K26="Muy Baja",N26="Leve"),AND(K26="Muy Baja",K26="Menor"),AND(K26="Baja",N26="Leve")),"Bajo",IF(OR(AND(K26="Muy baja",N26="Moderado"),AND(K26="Baja",N26="Menor"),AND(K26="Baja",N26="Moderado"),AND(K26="Media",N26="Leve"),AND(K26="Media",N26="Menor"),AND(K26="Media",N26="Moderado"),AND(K26="Alta",N26="Leve"),AND(K26="Alta",N26="Menor")),"Moderado",IF(OR(AND(K26="Muy Baja",N26="Mayor"),AND(K26="Baja",N26="Mayor"),AND(K26="Media",N26="Mayor"),AND(K26="Alta",N26="Moderado"),AND(K26="Alta",N26="Mayor"),AND(K26="Muy Alta",N26="Leve"),AND(K26="Muy Alta",N26="Menor"),AND(K26="Muy Alta",N26="Moderado"),AND(K26="Muy Alta",N26="Mayor")),"Alto",IF(OR(AND(K26="Muy Baja",N26="Catastrófico"),AND(K26="Baja",N26="Catastrófico"),AND(K26="Media",N26="Catastrófico"),AND(K26="Alta",N26="Catastrófico"),AND(K26="Muy Alta",N26="Catastrófico")),"Extremo",""))))</f>
        <v>Alto</v>
      </c>
      <c r="Q26" s="235">
        <v>1</v>
      </c>
      <c r="R26" s="306" t="s">
        <v>850</v>
      </c>
      <c r="S26" s="245" t="s">
        <v>292</v>
      </c>
      <c r="T26" s="305" t="s">
        <v>849</v>
      </c>
      <c r="U26" s="307" t="str">
        <f t="shared" si="1"/>
        <v>Probabilidad</v>
      </c>
      <c r="V26" s="259" t="s">
        <v>13</v>
      </c>
      <c r="W26" s="259" t="s">
        <v>8</v>
      </c>
      <c r="X26" s="260" t="str">
        <f>IF(AND(V26="Preventivo",W26="Automático"),"50%",IF(AND(V26="Preventivo",W26="Manual"),"40%",IF(AND(V26="Detectivo",W26="Automático"),"40%",IF(AND(V26="Detectivo",W26="Manual"),"30%",IF(AND(V26="Correctivo",W26="Automático"),"35%",IF(AND(V26="Correctivo",W26="Manual"),"25%",""))))))</f>
        <v>40%</v>
      </c>
      <c r="Y26" s="259" t="s">
        <v>18</v>
      </c>
      <c r="Z26" s="259" t="s">
        <v>21</v>
      </c>
      <c r="AA26" s="259" t="s">
        <v>103</v>
      </c>
      <c r="AB26" s="261">
        <f>IFERROR(IF(U26="Probabilidad",(L26-(+L26*X26)),IF(U26="Impacto",L26,"")),"")</f>
        <v>0.48</v>
      </c>
      <c r="AC26" s="262" t="str">
        <f>IFERROR(IF(AB26="","",IF(AB26&lt;=0.2,"Muy Baja",IF(AB26&lt;=0.4,"Baja",IF(AB26&lt;=0.6,"Media",IF(AB26&lt;=0.8,"Alta","Muy Alta"))))),"")</f>
        <v>Media</v>
      </c>
      <c r="AD26" s="260">
        <f>+AB26</f>
        <v>0.48</v>
      </c>
      <c r="AE26" s="262" t="str">
        <f>IFERROR(IF(AF26="","",IF(AF26&lt;=0.2,"Leve",IF(AF26&lt;=0.4,"Menor",IF(AF26&lt;=0.6,"Moderado",IF(AF26&lt;=0.8,"Mayor","Catastrófico"))))),"")</f>
        <v>Mayor</v>
      </c>
      <c r="AF26" s="260">
        <f>IFERROR(IF(U26="Impacto",(O26-(+O26*X26)),IF(U26="Probabilidad",O26,"")),"")</f>
        <v>0.8</v>
      </c>
      <c r="AG26" s="264" t="str">
        <f>IFERROR(IF(OR(AND(AC26="Muy Baja",AE26="Leve"),AND(AC26="Muy Baja",AE26="Menor"),AND(AC26="Baja",AE26="Leve")),"Bajo",IF(OR(AND(AC26="Muy baja",AE26="Moderado"),AND(AC26="Baja",AE26="Menor"),AND(AC26="Baja",AE26="Moderado"),AND(AC26="Media",AE26="Leve"),AND(AC26="Media",AE26="Menor"),AND(AC26="Media",AE26="Moderado"),AND(AC26="Alta",AE26="Leve"),AND(AC26="Alta",AE26="Menor")),"Moderado",IF(OR(AND(AC26="Muy Baja",AE26="Mayor"),AND(AC26="Baja",AE26="Mayor"),AND(AC26="Media",AE26="Mayor"),AND(AC26="Alta",AE26="Moderado"),AND(AC26="Alta",AE26="Mayor"),AND(AC26="Muy Alta",AE26="Leve"),AND(AC26="Muy Alta",AE26="Menor"),AND(AC26="Muy Alta",AE26="Moderado"),AND(AC26="Muy Alta",AE26="Mayor")),"Alto",IF(OR(AND(AC26="Muy Baja",AE26="Catastrófico"),AND(AC26="Baja",AE26="Catastrófico"),AND(AC26="Media",AE26="Catastrófico"),AND(AC26="Alta",AE26="Catastrófico"),AND(AC26="Muy Alta",AE26="Catastrófico")),"Extremo","")))),"")</f>
        <v>Alto</v>
      </c>
      <c r="AH26" s="259" t="s">
        <v>26</v>
      </c>
      <c r="AI26" s="234">
        <v>4</v>
      </c>
      <c r="AJ26" s="234">
        <v>1</v>
      </c>
      <c r="AK26" s="234">
        <v>1</v>
      </c>
      <c r="AL26" s="234">
        <v>2</v>
      </c>
      <c r="AM26" s="306"/>
      <c r="AN26" s="306"/>
      <c r="AO26" s="245"/>
      <c r="AP26" s="319"/>
      <c r="AQ26" s="319"/>
      <c r="AR26" s="319"/>
      <c r="AS26" s="319"/>
      <c r="AT26" s="319"/>
      <c r="AU26" s="319"/>
      <c r="AV26" s="319"/>
      <c r="AW26" s="319"/>
      <c r="AX26" s="319"/>
      <c r="AY26" s="319"/>
      <c r="AZ26" s="319"/>
      <c r="BA26" s="319"/>
      <c r="BB26" s="319"/>
      <c r="BC26" s="319"/>
      <c r="BD26" s="319"/>
      <c r="BE26" s="319"/>
      <c r="BF26" s="319"/>
      <c r="BG26" s="319"/>
      <c r="BH26" s="319"/>
      <c r="BI26" s="319"/>
      <c r="BJ26" s="319"/>
      <c r="BK26" s="319"/>
      <c r="BL26" s="319"/>
      <c r="BM26" s="319"/>
      <c r="BN26" s="319"/>
      <c r="BO26" s="319"/>
      <c r="BP26" s="319"/>
      <c r="BQ26" s="319"/>
      <c r="BR26" s="319"/>
      <c r="BS26" s="319"/>
      <c r="BT26" s="319"/>
      <c r="BU26" s="319"/>
      <c r="BV26" s="319"/>
      <c r="BW26" s="319"/>
      <c r="BX26" s="319"/>
      <c r="BY26" s="319"/>
      <c r="BZ26" s="319"/>
      <c r="CA26" s="319"/>
      <c r="CB26" s="319"/>
      <c r="CC26" s="319"/>
      <c r="CD26" s="319"/>
      <c r="CE26" s="319"/>
      <c r="CF26" s="319"/>
      <c r="CG26" s="319"/>
      <c r="CH26" s="319"/>
      <c r="CI26" s="319"/>
      <c r="CJ26" s="319"/>
      <c r="CK26" s="319"/>
      <c r="CL26" s="319"/>
      <c r="CM26" s="319"/>
      <c r="CN26" s="319"/>
      <c r="CO26" s="319"/>
      <c r="CP26" s="319"/>
      <c r="CQ26" s="319"/>
      <c r="CR26" s="319"/>
    </row>
    <row r="27" spans="1:102" s="320" customFormat="1" ht="144" x14ac:dyDescent="0.25">
      <c r="A27" s="281" t="s">
        <v>713</v>
      </c>
      <c r="B27" s="282" t="s">
        <v>753</v>
      </c>
      <c r="C27" s="211" t="s">
        <v>281</v>
      </c>
      <c r="D27" s="244" t="s">
        <v>621</v>
      </c>
      <c r="E27" s="306" t="s">
        <v>732</v>
      </c>
      <c r="F27" s="306" t="s">
        <v>673</v>
      </c>
      <c r="G27" s="306" t="s">
        <v>764</v>
      </c>
      <c r="H27" s="245" t="s">
        <v>233</v>
      </c>
      <c r="I27" s="245" t="s">
        <v>729</v>
      </c>
      <c r="J27" s="247">
        <v>284</v>
      </c>
      <c r="K27" s="284" t="str">
        <f t="shared" si="62"/>
        <v>Media</v>
      </c>
      <c r="L27" s="248">
        <f t="shared" ref="L27" si="71">IF(K27="","",IF(K27="Muy Baja",0.2,IF(K27="Baja",0.4,IF(K27="Media",0.6,IF(K27="Alta",0.8,IF(K27="Muy Alta",1,))))))</f>
        <v>0.6</v>
      </c>
      <c r="M27" s="284">
        <v>5</v>
      </c>
      <c r="N27" s="248" t="str">
        <f t="shared" ref="N27" si="72">IF(M27=1,"INSIGNIFICANTE",IF(M27=2,"Menor",IF(M27=3,"Moderado",IF(M27=4,"MAYOR",IF(M27=5,"Catastrófico",IF(M27=""," "))))))</f>
        <v>Catastrófico</v>
      </c>
      <c r="O27" s="248">
        <f>IF(N27="","",IF(N27="Leve",0.2,IF(N27="Menor",0.4,IF(N27="Moderado",0.6,IF(N27="Mayor",0.8,IF(N27="Catastrófico",1,))))))</f>
        <v>1</v>
      </c>
      <c r="P27" s="280" t="str">
        <f t="shared" ref="P27:P28" si="73">IF(OR(AND(K27="Muy Baja",N27="Leve"),AND(K27="Muy Baja",K27="Menor"),AND(K27="Baja",N27="Leve")),"Bajo",IF(OR(AND(K27="Muy baja",N27="Moderado"),AND(K27="Baja",N27="Menor"),AND(K27="Baja",N27="Moderado"),AND(K27="Media",N27="Leve"),AND(K27="Media",N27="Menor"),AND(K27="Media",N27="Moderado"),AND(K27="Alta",N27="Leve"),AND(K27="Alta",N27="Menor")),"Moderado",IF(OR(AND(K27="Muy Baja",N27="Mayor"),AND(K27="Baja",N27="Mayor"),AND(K27="Media",N27="Mayor"),AND(K27="Alta",N27="Moderado"),AND(K27="Alta",N27="Mayor"),AND(K27="Muy Alta",N27="Leve"),AND(K27="Muy Alta",N27="Menor"),AND(K27="Muy Alta",N27="Moderado"),AND(K27="Muy Alta",N27="Mayor")),"Alto",IF(OR(AND(K27="Muy Baja",N27="Catastrófico"),AND(K27="Baja",N27="Catastrófico"),AND(K27="Media",N27="Catastrófico"),AND(K27="Alta",N27="Catastrófico"),AND(K27="Muy Alta",N27="Catastrófico")),"Extremo",""))))</f>
        <v>Extremo</v>
      </c>
      <c r="Q27" s="235">
        <v>1</v>
      </c>
      <c r="R27" s="322" t="s">
        <v>836</v>
      </c>
      <c r="S27" s="305" t="s">
        <v>293</v>
      </c>
      <c r="T27" s="305" t="s">
        <v>731</v>
      </c>
      <c r="U27" s="307" t="str">
        <f t="shared" si="1"/>
        <v>Probabilidad</v>
      </c>
      <c r="V27" s="259" t="s">
        <v>13</v>
      </c>
      <c r="W27" s="259" t="s">
        <v>8</v>
      </c>
      <c r="X27" s="260" t="str">
        <f t="shared" ref="X27" si="74">IF(AND(V27="Preventivo",W27="Automático"),"50%",IF(AND(V27="Preventivo",W27="Manual"),"40%",IF(AND(V27="Detectivo",W27="Automático"),"40%",IF(AND(V27="Detectivo",W27="Manual"),"30%",IF(AND(V27="Correctivo",W27="Automático"),"35%",IF(AND(V27="Correctivo",W27="Manual"),"25%",""))))))</f>
        <v>40%</v>
      </c>
      <c r="Y27" s="259" t="s">
        <v>18</v>
      </c>
      <c r="Z27" s="259" t="s">
        <v>21</v>
      </c>
      <c r="AA27" s="259" t="s">
        <v>103</v>
      </c>
      <c r="AB27" s="261">
        <f>IFERROR(IF(U27="Probabilidad",(L27-(+L27*X27)),IF(U27="Impacto",L27,"")),"")</f>
        <v>0.36</v>
      </c>
      <c r="AC27" s="262" t="str">
        <f>IFERROR(IF(AB27="","",IF(AB27&lt;=0.2,"Muy Baja",IF(AB27&lt;=0.4,"Baja",IF(AB27&lt;=0.6,"Media",IF(AB27&lt;=0.8,"Alta","Muy Alta"))))),"")</f>
        <v>Baja</v>
      </c>
      <c r="AD27" s="260">
        <f>+AB27</f>
        <v>0.36</v>
      </c>
      <c r="AE27" s="262" t="str">
        <f>IFERROR(IF(AF27="","",IF(AF27&lt;=0.2,"Leve",IF(AF27&lt;=0.4,"Menor",IF(AF27&lt;=0.6,"Moderado",IF(AF27&lt;=0.8,"Mayor","Catastrófico"))))),"")</f>
        <v>Catastrófico</v>
      </c>
      <c r="AF27" s="260">
        <f>IFERROR(IF(U27="Impacto",(O27-(+O27*X27)),IF(U27="Probabilidad",O27,"")),"")</f>
        <v>1</v>
      </c>
      <c r="AG27" s="264" t="str">
        <f>IFERROR(IF(OR(AND(AC27="Muy Baja",AE27="Leve"),AND(AC27="Muy Baja",AE27="Menor"),AND(AC27="Baja",AE27="Leve")),"Bajo",IF(OR(AND(AC27="Muy baja",AE27="Moderado"),AND(AC27="Baja",AE27="Menor"),AND(AC27="Baja",AE27="Moderado"),AND(AC27="Media",AE27="Leve"),AND(AC27="Media",AE27="Menor"),AND(AC27="Media",AE27="Moderado"),AND(AC27="Alta",AE27="Leve"),AND(AC27="Alta",AE27="Menor")),"Moderado",IF(OR(AND(AC27="Muy Baja",AE27="Mayor"),AND(AC27="Baja",AE27="Mayor"),AND(AC27="Media",AE27="Mayor"),AND(AC27="Alta",AE27="Moderado"),AND(AC27="Alta",AE27="Mayor"),AND(AC27="Muy Alta",AE27="Leve"),AND(AC27="Muy Alta",AE27="Menor"),AND(AC27="Muy Alta",AE27="Moderado"),AND(AC27="Muy Alta",AE27="Mayor")),"Alto",IF(OR(AND(AC27="Muy Baja",AE27="Catastrófico"),AND(AC27="Baja",AE27="Catastrófico"),AND(AC27="Media",AE27="Catastrófico"),AND(AC27="Alta",AE27="Catastrófico"),AND(AC27="Muy Alta",AE27="Catastrófico")),"Extremo","")))),"")</f>
        <v>Extremo</v>
      </c>
      <c r="AH27" s="259" t="s">
        <v>26</v>
      </c>
      <c r="AI27" s="307">
        <v>4</v>
      </c>
      <c r="AJ27" s="307">
        <v>1</v>
      </c>
      <c r="AK27" s="307">
        <v>1</v>
      </c>
      <c r="AL27" s="307">
        <v>2</v>
      </c>
      <c r="AM27" s="306"/>
      <c r="AN27" s="306"/>
      <c r="AO27" s="245"/>
      <c r="AP27" s="319"/>
      <c r="AQ27" s="319"/>
      <c r="AR27" s="319"/>
      <c r="AS27" s="319"/>
      <c r="AT27" s="319"/>
      <c r="AU27" s="319"/>
      <c r="AV27" s="319"/>
      <c r="AW27" s="319"/>
      <c r="AX27" s="319"/>
      <c r="AY27" s="319"/>
      <c r="AZ27" s="319"/>
      <c r="BA27" s="319"/>
      <c r="BB27" s="319"/>
      <c r="BC27" s="319"/>
      <c r="BD27" s="319"/>
      <c r="BE27" s="319"/>
      <c r="BF27" s="319"/>
      <c r="BG27" s="319"/>
      <c r="BH27" s="319"/>
      <c r="BI27" s="319"/>
      <c r="BJ27" s="319"/>
      <c r="BK27" s="319"/>
      <c r="BL27" s="319"/>
      <c r="BM27" s="319"/>
      <c r="BN27" s="319"/>
      <c r="BO27" s="319"/>
      <c r="BP27" s="319"/>
      <c r="BQ27" s="319"/>
      <c r="BR27" s="319"/>
      <c r="BS27" s="319"/>
      <c r="BT27" s="319"/>
      <c r="BU27" s="319"/>
      <c r="BV27" s="319"/>
      <c r="BW27" s="319"/>
      <c r="BX27" s="319"/>
      <c r="BY27" s="319"/>
      <c r="BZ27" s="319"/>
      <c r="CA27" s="319"/>
      <c r="CB27" s="319"/>
      <c r="CC27" s="319"/>
      <c r="CD27" s="319"/>
      <c r="CE27" s="319"/>
      <c r="CF27" s="319"/>
      <c r="CG27" s="319"/>
      <c r="CH27" s="319"/>
      <c r="CI27" s="319"/>
      <c r="CJ27" s="319"/>
      <c r="CK27" s="319"/>
      <c r="CL27" s="319"/>
      <c r="CM27" s="319"/>
      <c r="CN27" s="319"/>
      <c r="CO27" s="319"/>
      <c r="CP27" s="319"/>
      <c r="CQ27" s="319"/>
      <c r="CR27" s="319"/>
    </row>
    <row r="28" spans="1:102" s="320" customFormat="1" ht="130.5" customHeight="1" x14ac:dyDescent="0.25">
      <c r="A28" s="463" t="s">
        <v>716</v>
      </c>
      <c r="B28" s="464" t="s">
        <v>753</v>
      </c>
      <c r="C28" s="465" t="s">
        <v>280</v>
      </c>
      <c r="D28" s="466" t="s">
        <v>619</v>
      </c>
      <c r="E28" s="467" t="s">
        <v>745</v>
      </c>
      <c r="F28" s="467" t="s">
        <v>673</v>
      </c>
      <c r="G28" s="467" t="s">
        <v>901</v>
      </c>
      <c r="H28" s="492" t="s">
        <v>233</v>
      </c>
      <c r="I28" s="492" t="s">
        <v>729</v>
      </c>
      <c r="J28" s="493">
        <v>365</v>
      </c>
      <c r="K28" s="490" t="str">
        <f t="shared" si="62"/>
        <v>Media</v>
      </c>
      <c r="L28" s="488">
        <f t="shared" ref="L28" si="75">IF(K28="","",IF(K28="Muy Baja",0.2,IF(K28="Baja",0.4,IF(K28="Media",0.6,IF(K28="Alta",0.8,IF(K28="Muy Alta",1,))))))</f>
        <v>0.6</v>
      </c>
      <c r="M28" s="490">
        <v>5</v>
      </c>
      <c r="N28" s="488" t="str">
        <f t="shared" ref="N28" si="76">IF(M28=1,"INSIGNIFICANTE",IF(M28=2,"Menor",IF(M28=3,"Moderado",IF(M28=4,"MAYOR",IF(M28=5,"Catastrófico",IF(M28=""," "))))))</f>
        <v>Catastrófico</v>
      </c>
      <c r="O28" s="488">
        <f t="shared" ref="O28" si="77">IF(N28="","",IF(N28="Leve",0.2,IF(N28="Menor",0.4,IF(N28="Moderado",0.6,IF(N28="Mayor",0.8,IF(N28="Catastrófico",1,))))))</f>
        <v>1</v>
      </c>
      <c r="P28" s="491" t="str">
        <f t="shared" si="73"/>
        <v>Extremo</v>
      </c>
      <c r="Q28" s="235">
        <v>1</v>
      </c>
      <c r="R28" s="322" t="s">
        <v>899</v>
      </c>
      <c r="S28" s="305" t="s">
        <v>293</v>
      </c>
      <c r="T28" s="305" t="s">
        <v>717</v>
      </c>
      <c r="U28" s="307" t="str">
        <f t="shared" si="1"/>
        <v>Probabilidad</v>
      </c>
      <c r="V28" s="259" t="s">
        <v>13</v>
      </c>
      <c r="W28" s="259" t="s">
        <v>8</v>
      </c>
      <c r="X28" s="260" t="str">
        <f t="shared" ref="X28:X29" si="78">IF(AND(V28="Preventivo",W28="Automático"),"50%",IF(AND(V28="Preventivo",W28="Manual"),"40%",IF(AND(V28="Detectivo",W28="Automático"),"40%",IF(AND(V28="Detectivo",W28="Manual"),"30%",IF(AND(V28="Correctivo",W28="Automático"),"35%",IF(AND(V28="Correctivo",W28="Manual"),"25%",""))))))</f>
        <v>40%</v>
      </c>
      <c r="Y28" s="259" t="s">
        <v>18</v>
      </c>
      <c r="Z28" s="259" t="s">
        <v>21</v>
      </c>
      <c r="AA28" s="259" t="s">
        <v>103</v>
      </c>
      <c r="AB28" s="261">
        <f>IFERROR(IF(U28="Probabilidad",(L28-(+L28*X28)),IF(U28="Impacto",L28,"")),"")</f>
        <v>0.36</v>
      </c>
      <c r="AC28" s="262" t="str">
        <f>IFERROR(IF(AB28="","",IF(AB28&lt;=0.2,"Muy Baja",IF(AB28&lt;=0.4,"Baja",IF(AB28&lt;=0.6,"Media",IF(AB28&lt;=0.8,"Alta","Muy Alta"))))),"")</f>
        <v>Baja</v>
      </c>
      <c r="AD28" s="260">
        <f>+AB28</f>
        <v>0.36</v>
      </c>
      <c r="AE28" s="262" t="str">
        <f>IFERROR(IF(AF28="","",IF(AF28&lt;=0.2,"Leve",IF(AF28&lt;=0.4,"Menor",IF(AF28&lt;=0.6,"Moderado",IF(AF28&lt;=0.8,"Mayor","Catastrófico"))))),"")</f>
        <v>Catastrófico</v>
      </c>
      <c r="AF28" s="260">
        <f>IFERROR(IF(U28="Impacto",(O28-(+O28*X28)),IF(U28="Probabilidad",O28,"")),"")</f>
        <v>1</v>
      </c>
      <c r="AG28" s="264" t="str">
        <f>IFERROR(IF(OR(AND(AC28="Muy Baja",AE28="Leve"),AND(AC28="Muy Baja",AE28="Menor"),AND(AC28="Baja",AE28="Leve")),"Bajo",IF(OR(AND(AC28="Muy baja",AE28="Moderado"),AND(AC28="Baja",AE28="Menor"),AND(AC28="Baja",AE28="Moderado"),AND(AC28="Media",AE28="Leve"),AND(AC28="Media",AE28="Menor"),AND(AC28="Media",AE28="Moderado"),AND(AC28="Alta",AE28="Leve"),AND(AC28="Alta",AE28="Menor")),"Moderado",IF(OR(AND(AC28="Muy Baja",AE28="Mayor"),AND(AC28="Baja",AE28="Mayor"),AND(AC28="Media",AE28="Mayor"),AND(AC28="Alta",AE28="Moderado"),AND(AC28="Alta",AE28="Mayor"),AND(AC28="Muy Alta",AE28="Leve"),AND(AC28="Muy Alta",AE28="Menor"),AND(AC28="Muy Alta",AE28="Moderado"),AND(AC28="Muy Alta",AE28="Mayor")),"Alto",IF(OR(AND(AC28="Muy Baja",AE28="Catastrófico"),AND(AC28="Baja",AE28="Catastrófico"),AND(AC28="Media",AE28="Catastrófico"),AND(AC28="Alta",AE28="Catastrófico"),AND(AC28="Muy Alta",AE28="Catastrófico")),"Extremo","")))),"")</f>
        <v>Extremo</v>
      </c>
      <c r="AH28" s="259" t="s">
        <v>26</v>
      </c>
      <c r="AI28" s="307">
        <v>12</v>
      </c>
      <c r="AJ28" s="307">
        <v>4</v>
      </c>
      <c r="AK28" s="307">
        <v>4</v>
      </c>
      <c r="AL28" s="307">
        <v>4</v>
      </c>
      <c r="AM28" s="306"/>
      <c r="AN28" s="306"/>
      <c r="AO28" s="245"/>
      <c r="AP28" s="319"/>
      <c r="AQ28" s="319"/>
      <c r="AR28" s="319"/>
      <c r="AS28" s="319"/>
      <c r="AT28" s="319"/>
      <c r="AU28" s="319"/>
      <c r="AV28" s="319"/>
      <c r="AW28" s="319"/>
      <c r="AX28" s="319"/>
      <c r="AY28" s="319"/>
      <c r="AZ28" s="319"/>
      <c r="BA28" s="319"/>
      <c r="BB28" s="319"/>
      <c r="BC28" s="319"/>
      <c r="BD28" s="319"/>
      <c r="BE28" s="319"/>
      <c r="BF28" s="319"/>
      <c r="BG28" s="319"/>
      <c r="BH28" s="319"/>
      <c r="BI28" s="319"/>
      <c r="BJ28" s="319"/>
      <c r="BK28" s="319"/>
      <c r="BL28" s="319"/>
      <c r="BM28" s="319"/>
      <c r="BN28" s="319"/>
      <c r="BO28" s="319"/>
      <c r="BP28" s="319"/>
      <c r="BQ28" s="319"/>
      <c r="BR28" s="319"/>
      <c r="BS28" s="319"/>
      <c r="BT28" s="319"/>
      <c r="BU28" s="319"/>
      <c r="BV28" s="319"/>
      <c r="BW28" s="319"/>
      <c r="BX28" s="319"/>
      <c r="BY28" s="319"/>
      <c r="BZ28" s="319"/>
      <c r="CA28" s="319"/>
      <c r="CB28" s="319"/>
      <c r="CC28" s="319"/>
      <c r="CD28" s="319"/>
      <c r="CE28" s="319"/>
      <c r="CF28" s="319"/>
      <c r="CG28" s="319"/>
      <c r="CH28" s="319"/>
      <c r="CI28" s="319"/>
      <c r="CJ28" s="319"/>
      <c r="CK28" s="319"/>
      <c r="CL28" s="319"/>
      <c r="CM28" s="319"/>
      <c r="CN28" s="319"/>
      <c r="CO28" s="319"/>
      <c r="CP28" s="319"/>
      <c r="CQ28" s="319"/>
      <c r="CR28" s="319"/>
    </row>
    <row r="29" spans="1:102" s="321" customFormat="1" ht="161.25" customHeight="1" x14ac:dyDescent="0.25">
      <c r="A29" s="463"/>
      <c r="B29" s="464"/>
      <c r="C29" s="465"/>
      <c r="D29" s="466"/>
      <c r="E29" s="467"/>
      <c r="F29" s="467"/>
      <c r="G29" s="467"/>
      <c r="H29" s="492"/>
      <c r="I29" s="492"/>
      <c r="J29" s="493"/>
      <c r="K29" s="490"/>
      <c r="L29" s="488"/>
      <c r="M29" s="490"/>
      <c r="N29" s="488"/>
      <c r="O29" s="488"/>
      <c r="P29" s="491"/>
      <c r="Q29" s="235">
        <v>2</v>
      </c>
      <c r="R29" s="322" t="s">
        <v>900</v>
      </c>
      <c r="S29" s="305" t="s">
        <v>293</v>
      </c>
      <c r="T29" s="305" t="s">
        <v>898</v>
      </c>
      <c r="U29" s="307" t="str">
        <f t="shared" si="1"/>
        <v>Probabilidad</v>
      </c>
      <c r="V29" s="259" t="s">
        <v>13</v>
      </c>
      <c r="W29" s="259" t="s">
        <v>8</v>
      </c>
      <c r="X29" s="260" t="str">
        <f t="shared" si="78"/>
        <v>40%</v>
      </c>
      <c r="Y29" s="259" t="s">
        <v>18</v>
      </c>
      <c r="Z29" s="259" t="s">
        <v>21</v>
      </c>
      <c r="AA29" s="259" t="s">
        <v>103</v>
      </c>
      <c r="AB29" s="261">
        <f>IFERROR(IF(AND(U28="Probabilidad",U29="Probabilidad"),(AD28-(+AD28*X29)),IF(U29="Probabilidad",(L28-(+L28*X29)),IF(U29="Impacto",AD28,""))),"")</f>
        <v>0.216</v>
      </c>
      <c r="AC29" s="262" t="str">
        <f t="shared" ref="AC29" si="79">IFERROR(IF(AB29="","",IF(AB29&lt;=0.2,"Muy Baja",IF(AB29&lt;=0.4,"Baja",IF(AB29&lt;=0.6,"Media",IF(AB29&lt;=0.8,"Alta","Muy Alta"))))),"")</f>
        <v>Baja</v>
      </c>
      <c r="AD29" s="260">
        <f t="shared" ref="AD29" si="80">+AB29</f>
        <v>0.216</v>
      </c>
      <c r="AE29" s="262" t="str">
        <f t="shared" ref="AE29" si="81">IFERROR(IF(AF29="","",IF(AF29&lt;=0.2,"Leve",IF(AF29&lt;=0.4,"Menor",IF(AF29&lt;=0.6,"Moderado",IF(AF29&lt;=0.8,"Mayor","Catastrófico"))))),"")</f>
        <v>Catastrófico</v>
      </c>
      <c r="AF29" s="260">
        <f>IFERROR(IF(AND(U28="Impacto",U29="Impacto"),(AF28-(+AF28*X29)),IF(U29="Impacto",($O$28-(+$O$28*X29)),IF(U29="Probabilidad",AF28,""))),"")</f>
        <v>1</v>
      </c>
      <c r="AG29" s="264" t="str">
        <f t="shared" ref="AG29" si="82">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Extremo</v>
      </c>
      <c r="AH29" s="259" t="s">
        <v>26</v>
      </c>
      <c r="AI29" s="307">
        <v>3</v>
      </c>
      <c r="AJ29" s="307">
        <v>1</v>
      </c>
      <c r="AK29" s="307">
        <v>1</v>
      </c>
      <c r="AL29" s="307">
        <v>1</v>
      </c>
      <c r="AM29" s="246"/>
      <c r="AN29" s="246"/>
      <c r="AO29" s="245"/>
      <c r="AP29" s="319"/>
      <c r="AQ29" s="319"/>
      <c r="AR29" s="319"/>
      <c r="AS29" s="319"/>
      <c r="AT29" s="319"/>
      <c r="AU29" s="319"/>
      <c r="AV29" s="319"/>
      <c r="AW29" s="319"/>
      <c r="AX29" s="319"/>
      <c r="AY29" s="319"/>
      <c r="AZ29" s="319"/>
      <c r="BA29" s="319"/>
      <c r="BB29" s="319"/>
      <c r="BC29" s="319"/>
      <c r="BD29" s="319"/>
      <c r="BE29" s="319"/>
      <c r="BF29" s="319"/>
      <c r="BG29" s="319"/>
      <c r="BH29" s="319"/>
      <c r="BI29" s="319"/>
      <c r="BJ29" s="319"/>
      <c r="BK29" s="319"/>
      <c r="BL29" s="319"/>
      <c r="BM29" s="319"/>
      <c r="BN29" s="319"/>
      <c r="BO29" s="319"/>
      <c r="BP29" s="319"/>
      <c r="BQ29" s="319"/>
      <c r="BR29" s="319"/>
      <c r="BS29" s="319"/>
      <c r="BT29" s="319"/>
      <c r="BU29" s="319"/>
      <c r="BV29" s="319"/>
      <c r="BW29" s="319"/>
      <c r="BX29" s="319"/>
      <c r="BY29" s="319"/>
      <c r="BZ29" s="319"/>
      <c r="CA29" s="319"/>
      <c r="CB29" s="319"/>
      <c r="CC29" s="319"/>
      <c r="CD29" s="319"/>
      <c r="CE29" s="319"/>
      <c r="CF29" s="319"/>
      <c r="CG29" s="319"/>
      <c r="CH29" s="319"/>
      <c r="CI29" s="319"/>
      <c r="CJ29" s="319"/>
      <c r="CK29" s="319"/>
      <c r="CL29" s="319"/>
      <c r="CM29" s="319"/>
      <c r="CN29" s="319"/>
      <c r="CO29" s="319"/>
      <c r="CP29" s="319"/>
      <c r="CQ29" s="319"/>
      <c r="CR29" s="319"/>
    </row>
    <row r="30" spans="1:102" s="320" customFormat="1" ht="156.6" customHeight="1" x14ac:dyDescent="0.25">
      <c r="A30" s="281" t="s">
        <v>721</v>
      </c>
      <c r="B30" s="282" t="s">
        <v>753</v>
      </c>
      <c r="C30" s="211" t="s">
        <v>286</v>
      </c>
      <c r="D30" s="244" t="s">
        <v>618</v>
      </c>
      <c r="E30" s="306" t="s">
        <v>767</v>
      </c>
      <c r="F30" s="306" t="s">
        <v>673</v>
      </c>
      <c r="G30" s="306" t="s">
        <v>840</v>
      </c>
      <c r="H30" s="245" t="s">
        <v>233</v>
      </c>
      <c r="I30" s="245" t="s">
        <v>729</v>
      </c>
      <c r="J30" s="247">
        <v>474</v>
      </c>
      <c r="K30" s="284" t="str">
        <f>IF(J30&lt;=0,"",IF(J30&lt;=2,"Muy Baja",IF(J30&lt;=24,"Baja",IF(J30&lt;=500,"Media",IF(J30&lt;=5000,"Alta","Muy Alta")))))</f>
        <v>Media</v>
      </c>
      <c r="L30" s="248">
        <f t="shared" ref="L30" si="83">IF(K30="","",IF(K30="Muy Baja",0.2,IF(K30="Baja",0.4,IF(K30="Media",0.6,IF(K30="Alta",0.8,IF(K30="Muy Alta",1,))))))</f>
        <v>0.6</v>
      </c>
      <c r="M30" s="284">
        <v>4</v>
      </c>
      <c r="N30" s="248" t="str">
        <f>IF(M30=1,"INSIGNIFICANTE",IF(M30=2,"Menor",IF(M30=3,"Moderado",IF(M30=4,"Mayor",IF(M30=5,"Catastrófico",IF(M30=""," "))))))</f>
        <v>Mayor</v>
      </c>
      <c r="O30" s="248">
        <f t="shared" ref="O30" si="84">IF(N30="","",IF(N30="Leve",0.2,IF(N30="Menor",0.4,IF(N30="Moderado",0.6,IF(N30="Mayor",0.8,IF(N30="Catastrófico",1,))))))</f>
        <v>0.8</v>
      </c>
      <c r="P30" s="280" t="str">
        <f>IF(OR(AND(K30="Muy Baja",N30="Leve"),AND(K30="Muy Baja",K30="Menor"),AND(K30="Baja",N30="Leve")),"Bajo",IF(OR(AND(K30="Muy baja",N30="Moderado"),AND(K30="Baja",N30="Menor"),AND(K30="Baja",N30="Moderado"),AND(K30="Media",N30="Leve"),AND(K30="Media",N30="Menor"),AND(K30="Media",N30="Moderado"),AND(K30="Alta",N30="Leve"),AND(K30="Alta",N30="Menor")),"Moderado",IF(OR(AND(K30="Muy Baja",N30="Mayor"),AND(K30="Baja",N30="Mayor"),AND(K30="Media",N30="Mayor"),AND(K30="Alta",N30="Moderado"),AND(K30="Alta",N30="Mayor"),AND(K30="Muy Alta",N30="Leve"),AND(K30="Muy Alta",N30="Menor"),AND(K30="Muy Alta",N30="Moderado"),AND(K30="Muy Alta",N30="Mayor")),"Alto",IF(OR(AND(K30="Muy Baja",N30="Catastrófico"),AND(K30="Baja",N30="Catastrófico"),AND(K30="Media",N30="Catastrófico"),AND(K30="Alta",N30="Catastrófico"),AND(K30="Muy Alta",N30="Catastrófico")),"Extremo",""))))</f>
        <v>Alto</v>
      </c>
      <c r="Q30" s="235">
        <v>1</v>
      </c>
      <c r="R30" s="323" t="s">
        <v>896</v>
      </c>
      <c r="S30" s="305" t="s">
        <v>293</v>
      </c>
      <c r="T30" s="305" t="s">
        <v>841</v>
      </c>
      <c r="U30" s="307" t="str">
        <f t="shared" si="1"/>
        <v>Probabilidad</v>
      </c>
      <c r="V30" s="259" t="s">
        <v>13</v>
      </c>
      <c r="W30" s="259" t="s">
        <v>8</v>
      </c>
      <c r="X30" s="260" t="str">
        <f>IF(AND(V30="Preventivo",W30="Automático"),"50%",IF(AND(V30="Preventivo",W30="Manual"),"40%",IF(AND(V30="Detectivo",W30="Automático"),"40%",IF(AND(V30="Detectivo",W30="Manual"),"30%",IF(AND(V30="Correctivo",W30="Automático"),"35%",IF(AND(V30="Correctivo",W30="Manual"),"25%",""))))))</f>
        <v>40%</v>
      </c>
      <c r="Y30" s="259" t="s">
        <v>18</v>
      </c>
      <c r="Z30" s="259" t="s">
        <v>21</v>
      </c>
      <c r="AA30" s="259" t="s">
        <v>103</v>
      </c>
      <c r="AB30" s="261">
        <f>IFERROR(IF(U30="Probabilidad",(L30-(+L30*X30)),IF(U30="Impacto",L30,"")),"")</f>
        <v>0.36</v>
      </c>
      <c r="AC30" s="262" t="str">
        <f>IFERROR(IF(AB30="","",IF(AB30&lt;=0.2,"Muy Baja",IF(AB30&lt;=0.4,"Baja",IF(AB30&lt;=0.6,"Media",IF(AB30&lt;=0.8,"Alta","Muy Alta"))))),"")</f>
        <v>Baja</v>
      </c>
      <c r="AD30" s="260">
        <f>+AB30</f>
        <v>0.36</v>
      </c>
      <c r="AE30" s="262" t="str">
        <f>IFERROR(IF(AF30="","",IF(AF30&lt;=0.2,"Leve",IF(AF30&lt;=0.4,"Menor",IF(AF30&lt;=0.6,"Moderado",IF(AF30&lt;=0.8,"Mayor","Catastrófico"))))),"")</f>
        <v>Mayor</v>
      </c>
      <c r="AF30" s="260">
        <f>IFERROR(IF(U30="Impacto",(O30-(+O30*X30)),IF(U30="Probabilidad",O30,"")),"")</f>
        <v>0.8</v>
      </c>
      <c r="AG30" s="264" t="str">
        <f>IFERROR(IF(OR(AND(AC30="Muy Baja",AE30="Leve"),AND(AC30="Muy Baja",AE30="Menor"),AND(AC30="Baja",AE30="Leve")),"Bajo",IF(OR(AND(AC30="Muy baja",AE30="Moderado"),AND(AC30="Baja",AE30="Menor"),AND(AC30="Baja",AE30="Moderado"),AND(AC30="Media",AE30="Leve"),AND(AC30="Media",AE30="Menor"),AND(AC30="Media",AE30="Moderado"),AND(AC30="Alta",AE30="Leve"),AND(AC30="Alta",AE30="Menor")),"Moderado",IF(OR(AND(AC30="Muy Baja",AE30="Mayor"),AND(AC30="Baja",AE30="Mayor"),AND(AC30="Media",AE30="Mayor"),AND(AC30="Alta",AE30="Moderado"),AND(AC30="Alta",AE30="Mayor"),AND(AC30="Muy Alta",AE30="Leve"),AND(AC30="Muy Alta",AE30="Menor"),AND(AC30="Muy Alta",AE30="Moderado"),AND(AC30="Muy Alta",AE30="Mayor")),"Alto",IF(OR(AND(AC30="Muy Baja",AE30="Catastrófico"),AND(AC30="Baja",AE30="Catastrófico"),AND(AC30="Media",AE30="Catastrófico"),AND(AC30="Alta",AE30="Catastrófico"),AND(AC30="Muy Alta",AE30="Catastrófico")),"Extremo","")))),"")</f>
        <v>Alto</v>
      </c>
      <c r="AH30" s="259" t="s">
        <v>26</v>
      </c>
      <c r="AI30" s="269">
        <v>4</v>
      </c>
      <c r="AJ30" s="269">
        <v>1</v>
      </c>
      <c r="AK30" s="269">
        <v>1</v>
      </c>
      <c r="AL30" s="269">
        <v>2</v>
      </c>
      <c r="AM30" s="245"/>
      <c r="AN30" s="245"/>
      <c r="AO30" s="247"/>
      <c r="AP30" s="319"/>
      <c r="AQ30" s="319"/>
      <c r="AR30" s="319"/>
      <c r="AS30" s="319"/>
      <c r="AT30" s="319"/>
      <c r="AU30" s="319"/>
      <c r="AV30" s="319"/>
      <c r="AW30" s="319"/>
      <c r="AX30" s="319"/>
      <c r="AY30" s="319"/>
      <c r="AZ30" s="319"/>
      <c r="BA30" s="319"/>
      <c r="BB30" s="319"/>
      <c r="BC30" s="319"/>
      <c r="BD30" s="319"/>
      <c r="BE30" s="319"/>
      <c r="BF30" s="319"/>
      <c r="BG30" s="319"/>
      <c r="BH30" s="319"/>
      <c r="BI30" s="319"/>
      <c r="BJ30" s="319"/>
      <c r="BK30" s="319"/>
      <c r="BL30" s="319"/>
      <c r="BM30" s="319"/>
      <c r="BN30" s="319"/>
      <c r="BO30" s="319"/>
      <c r="BP30" s="319"/>
      <c r="BQ30" s="319"/>
      <c r="BR30" s="319"/>
      <c r="BS30" s="319"/>
      <c r="BT30" s="319"/>
      <c r="BU30" s="319"/>
      <c r="BV30" s="319"/>
      <c r="BW30" s="319"/>
      <c r="BX30" s="319"/>
      <c r="BY30" s="319"/>
      <c r="BZ30" s="319"/>
      <c r="CA30" s="319"/>
      <c r="CB30" s="319"/>
      <c r="CC30" s="319"/>
      <c r="CD30" s="319"/>
      <c r="CE30" s="319"/>
      <c r="CF30" s="319"/>
      <c r="CG30" s="319"/>
      <c r="CH30" s="319"/>
      <c r="CI30" s="319"/>
      <c r="CJ30" s="319"/>
      <c r="CK30" s="319"/>
      <c r="CL30" s="319"/>
      <c r="CM30" s="319"/>
      <c r="CN30" s="319"/>
      <c r="CO30" s="319"/>
      <c r="CP30" s="319"/>
      <c r="CQ30" s="319"/>
      <c r="CR30" s="319"/>
    </row>
    <row r="31" spans="1:102" s="320" customFormat="1" ht="134.25" customHeight="1" x14ac:dyDescent="0.25">
      <c r="A31" s="281" t="s">
        <v>725</v>
      </c>
      <c r="B31" s="282" t="s">
        <v>753</v>
      </c>
      <c r="C31" s="211" t="s">
        <v>613</v>
      </c>
      <c r="D31" s="244" t="s">
        <v>619</v>
      </c>
      <c r="E31" s="306" t="s">
        <v>726</v>
      </c>
      <c r="F31" s="306" t="s">
        <v>673</v>
      </c>
      <c r="G31" s="306" t="s">
        <v>750</v>
      </c>
      <c r="H31" s="245" t="s">
        <v>233</v>
      </c>
      <c r="I31" s="245" t="s">
        <v>751</v>
      </c>
      <c r="J31" s="247">
        <v>85</v>
      </c>
      <c r="K31" s="284" t="str">
        <f>IF(J31&lt;=0,"",IF(J31&lt;=2,"Muy Baja",IF(J31&lt;=24,"Baja",IF(J31&lt;=500,"Media",IF(J31&lt;=5000,"Alta","Muy Alta")))))</f>
        <v>Media</v>
      </c>
      <c r="L31" s="248">
        <f t="shared" ref="L31" si="85">IF(K31="","",IF(K31="Muy Baja",0.2,IF(K31="Baja",0.4,IF(K31="Media",0.6,IF(K31="Alta",0.8,IF(K31="Muy Alta",1,))))))</f>
        <v>0.6</v>
      </c>
      <c r="M31" s="284">
        <v>4</v>
      </c>
      <c r="N31" s="248" t="str">
        <f>IF(M31=1,"INSIGNIFICANTE",IF(M31=2,"Menor",IF(M31=3,"Moderado",IF(M31=4,"Mayor",IF(M31=5,"Catastrófico",IF(M31=""," "))))))</f>
        <v>Mayor</v>
      </c>
      <c r="O31" s="248">
        <f t="shared" ref="O31" si="86">IF(N31="","",IF(N31="Leve",0.2,IF(N31="Menor",0.4,IF(N31="Moderado",0.6,IF(N31="Mayor",0.8,IF(N31="Catastrófico",1,))))))</f>
        <v>0.8</v>
      </c>
      <c r="P31" s="280" t="str">
        <f>IF(OR(AND(K31="Muy Baja",N31="Leve"),AND(K31="Muy Baja",K31="Menor"),AND(K31="Baja",N31="Leve")),"Bajo",IF(OR(AND(K31="Muy baja",N31="Moderado"),AND(K31="Baja",N31="Menor"),AND(K31="Baja",N31="Moderado"),AND(K31="Media",N31="Leve"),AND(K31="Media",N31="Menor"),AND(K31="Media",N31="Moderado"),AND(K31="Alta",N31="Leve"),AND(K31="Alta",N31="Menor")),"Moderado",IF(OR(AND(K31="Muy Baja",N31="Mayor"),AND(K31="Baja",N31="Mayor"),AND(K31="Media",N31="Mayor"),AND(K31="Alta",N31="Moderado"),AND(K31="Alta",N31="Mayor"),AND(K31="Muy Alta",N31="Leve"),AND(K31="Muy Alta",N31="Menor"),AND(K31="Muy Alta",N31="Moderado"),AND(K31="Muy Alta",N31="Mayor")),"Alto",IF(OR(AND(K31="Muy Baja",N31="Catastrófico"),AND(K31="Baja",N31="Catastrófico"),AND(K31="Media",N31="Catastrófico"),AND(K31="Alta",N31="Catastrófico"),AND(K31="Muy Alta",N31="Catastrófico")),"Extremo",""))))</f>
        <v>Alto</v>
      </c>
      <c r="Q31" s="235">
        <v>1</v>
      </c>
      <c r="R31" s="322" t="s">
        <v>838</v>
      </c>
      <c r="S31" s="305" t="s">
        <v>293</v>
      </c>
      <c r="T31" s="305" t="s">
        <v>727</v>
      </c>
      <c r="U31" s="307" t="str">
        <f t="shared" si="1"/>
        <v>Probabilidad</v>
      </c>
      <c r="V31" s="259" t="s">
        <v>13</v>
      </c>
      <c r="W31" s="259" t="s">
        <v>8</v>
      </c>
      <c r="X31" s="260" t="str">
        <f>IF(AND(V31="Preventivo",W31="Automático"),"50%",IF(AND(V31="Preventivo",W31="Manual"),"40%",IF(AND(V31="Detectivo",W31="Automático"),"40%",IF(AND(V31="Detectivo",W31="Manual"),"30%",IF(AND(V31="Correctivo",W31="Automático"),"35%",IF(AND(V31="Correctivo",W31="Manual"),"25%",""))))))</f>
        <v>40%</v>
      </c>
      <c r="Y31" s="259" t="s">
        <v>18</v>
      </c>
      <c r="Z31" s="259" t="s">
        <v>21</v>
      </c>
      <c r="AA31" s="259" t="s">
        <v>103</v>
      </c>
      <c r="AB31" s="261">
        <f>IFERROR(IF(U31="Probabilidad",(L31-(+L31*X31)),IF(U31="Impacto",L31,"")),"")</f>
        <v>0.36</v>
      </c>
      <c r="AC31" s="262" t="str">
        <f>IFERROR(IF(AB31="","",IF(AB31&lt;=0.2,"Muy Baja",IF(AB31&lt;=0.4,"Baja",IF(AB31&lt;=0.6,"Media",IF(AB31&lt;=0.8,"Alta","Muy Alta"))))),"")</f>
        <v>Baja</v>
      </c>
      <c r="AD31" s="260">
        <f>+AB31</f>
        <v>0.36</v>
      </c>
      <c r="AE31" s="262" t="str">
        <f>IFERROR(IF(AF31="","",IF(AF31&lt;=0.2,"Leve",IF(AF31&lt;=0.4,"Menor",IF(AF31&lt;=0.6,"Moderado",IF(AF31&lt;=0.8,"Mayor","Catastrófico"))))),"")</f>
        <v>Mayor</v>
      </c>
      <c r="AF31" s="260">
        <f>IFERROR(IF(U31="Impacto",(O31-(+O31*X31)),IF(U31="Probabilidad",O31,"")),"")</f>
        <v>0.8</v>
      </c>
      <c r="AG31" s="264" t="str">
        <f>IFERROR(IF(OR(AND(AC31="Muy Baja",AE31="Leve"),AND(AC31="Muy Baja",AE31="Menor"),AND(AC31="Baja",AE31="Leve")),"Bajo",IF(OR(AND(AC31="Muy baja",AE31="Moderado"),AND(AC31="Baja",AE31="Menor"),AND(AC31="Baja",AE31="Moderado"),AND(AC31="Media",AE31="Leve"),AND(AC31="Media",AE31="Menor"),AND(AC31="Media",AE31="Moderado"),AND(AC31="Alta",AE31="Leve"),AND(AC31="Alta",AE31="Menor")),"Moderado",IF(OR(AND(AC31="Muy Baja",AE31="Mayor"),AND(AC31="Baja",AE31="Mayor"),AND(AC31="Media",AE31="Mayor"),AND(AC31="Alta",AE31="Moderado"),AND(AC31="Alta",AE31="Mayor"),AND(AC31="Muy Alta",AE31="Leve"),AND(AC31="Muy Alta",AE31="Menor"),AND(AC31="Muy Alta",AE31="Moderado"),AND(AC31="Muy Alta",AE31="Mayor")),"Alto",IF(OR(AND(AC31="Muy Baja",AE31="Catastrófico"),AND(AC31="Baja",AE31="Catastrófico"),AND(AC31="Media",AE31="Catastrófico"),AND(AC31="Alta",AE31="Catastrófico"),AND(AC31="Muy Alta",AE31="Catastrófico")),"Extremo","")))),"")</f>
        <v>Alto</v>
      </c>
      <c r="AH31" s="259" t="s">
        <v>26</v>
      </c>
      <c r="AI31" s="307">
        <v>0</v>
      </c>
      <c r="AJ31" s="307">
        <v>0</v>
      </c>
      <c r="AK31" s="307">
        <v>0</v>
      </c>
      <c r="AL31" s="307">
        <v>0</v>
      </c>
      <c r="AM31" s="245"/>
      <c r="AN31" s="245"/>
      <c r="AO31" s="247"/>
      <c r="AP31" s="319"/>
      <c r="AQ31" s="319"/>
      <c r="AR31" s="319"/>
      <c r="AS31" s="319"/>
      <c r="AT31" s="319"/>
      <c r="AU31" s="319"/>
      <c r="AV31" s="319"/>
      <c r="AW31" s="319"/>
      <c r="AX31" s="319"/>
      <c r="AY31" s="319"/>
      <c r="AZ31" s="319"/>
      <c r="BA31" s="319"/>
      <c r="BB31" s="319"/>
      <c r="BC31" s="319"/>
      <c r="BD31" s="319"/>
      <c r="BE31" s="319"/>
      <c r="BF31" s="319"/>
      <c r="BG31" s="319"/>
      <c r="BH31" s="319"/>
      <c r="BI31" s="319"/>
      <c r="BJ31" s="319"/>
      <c r="BK31" s="319"/>
      <c r="BL31" s="319"/>
      <c r="BM31" s="319"/>
      <c r="BN31" s="319"/>
      <c r="BO31" s="319"/>
      <c r="BP31" s="319"/>
      <c r="BQ31" s="319"/>
      <c r="BR31" s="319"/>
      <c r="BS31" s="319"/>
      <c r="BT31" s="319"/>
      <c r="BU31" s="319"/>
      <c r="BV31" s="319"/>
      <c r="BW31" s="319"/>
      <c r="BX31" s="319"/>
      <c r="BY31" s="319"/>
      <c r="BZ31" s="319"/>
      <c r="CA31" s="319"/>
      <c r="CB31" s="319"/>
      <c r="CC31" s="319"/>
      <c r="CD31" s="319"/>
      <c r="CE31" s="319"/>
      <c r="CF31" s="319"/>
      <c r="CG31" s="319"/>
      <c r="CH31" s="319"/>
      <c r="CI31" s="319"/>
      <c r="CJ31" s="319"/>
      <c r="CK31" s="319"/>
      <c r="CL31" s="319"/>
      <c r="CM31" s="319"/>
      <c r="CN31" s="319"/>
      <c r="CO31" s="319"/>
      <c r="CP31" s="319"/>
      <c r="CQ31" s="319"/>
      <c r="CR31" s="319"/>
    </row>
    <row r="32" spans="1:102" s="320" customFormat="1" ht="126.6" customHeight="1" x14ac:dyDescent="0.25">
      <c r="A32" s="281" t="s">
        <v>809</v>
      </c>
      <c r="B32" s="282" t="s">
        <v>753</v>
      </c>
      <c r="C32" s="211" t="s">
        <v>597</v>
      </c>
      <c r="D32" s="244" t="s">
        <v>623</v>
      </c>
      <c r="E32" s="306" t="s">
        <v>781</v>
      </c>
      <c r="F32" s="306" t="s">
        <v>673</v>
      </c>
      <c r="G32" s="306" t="s">
        <v>1050</v>
      </c>
      <c r="H32" s="245" t="s">
        <v>233</v>
      </c>
      <c r="I32" s="245" t="s">
        <v>782</v>
      </c>
      <c r="J32" s="247">
        <v>18</v>
      </c>
      <c r="K32" s="284" t="str">
        <f>IF(J32&lt;=0,"",IF(J32&lt;=2,"Muy Baja",IF(J32&lt;=24,"Baja",IF(J32&lt;=500,"Media",IF(J32&lt;=5000,"Alta","Muy Alta")))))</f>
        <v>Baja</v>
      </c>
      <c r="L32" s="248">
        <f t="shared" ref="L32" si="87">IF(K32="","",IF(K32="Muy Baja",0.2,IF(K32="Baja",0.4,IF(K32="Media",0.6,IF(K32="Alta",0.8,IF(K32="Muy Alta",1,))))))</f>
        <v>0.4</v>
      </c>
      <c r="M32" s="284">
        <v>5</v>
      </c>
      <c r="N32" s="248" t="str">
        <f>IF(M32=1,"INSIGNIFICANTE",IF(M32=2,"Menor",IF(M32=3,"Moderado",IF(M32=4,"Mayor",IF(M32=5,"Catastrófico",IF(M32=""," "))))))</f>
        <v>Catastrófico</v>
      </c>
      <c r="O32" s="248">
        <f t="shared" ref="O32" si="88">IF(N32="","",IF(N32="Leve",0.2,IF(N32="Menor",0.4,IF(N32="Moderado",0.6,IF(N32="Mayor",0.8,IF(N32="Catastrófico",1,))))))</f>
        <v>1</v>
      </c>
      <c r="P32" s="280" t="str">
        <f>IF(OR(AND(K32="Muy Baja",N32="Leve"),AND(K32="Muy Baja",K32="Menor"),AND(K32="Baja",N32="Leve")),"Bajo",IF(OR(AND(K32="Muy baja",N32="Moderado"),AND(K32="Baja",N32="Menor"),AND(K32="Baja",N32="Moderado"),AND(K32="Media",N32="Leve"),AND(K32="Media",N32="Menor"),AND(K32="Media",N32="Moderado"),AND(K32="Alta",N32="Leve"),AND(K32="Alta",N32="Menor")),"Moderado",IF(OR(AND(K32="Muy Baja",N32="Mayor"),AND(K32="Baja",N32="Mayor"),AND(K32="Media",N32="Mayor"),AND(K32="Alta",N32="Moderado"),AND(K32="Alta",N32="Mayor"),AND(K32="Muy Alta",N32="Leve"),AND(K32="Muy Alta",N32="Menor"),AND(K32="Muy Alta",N32="Moderado"),AND(K32="Muy Alta",N32="Mayor")),"Alto",IF(OR(AND(K32="Muy Baja",N32="Catastrófico"),AND(K32="Baja",N32="Catastrófico"),AND(K32="Media",N32="Catastrófico"),AND(K32="Alta",N32="Catastrófico"),AND(K32="Muy Alta",N32="Catastrófico")),"Extremo",""))))</f>
        <v>Extremo</v>
      </c>
      <c r="Q32" s="235">
        <v>1</v>
      </c>
      <c r="R32" s="322" t="s">
        <v>907</v>
      </c>
      <c r="S32" s="305" t="s">
        <v>293</v>
      </c>
      <c r="T32" s="243" t="s">
        <v>837</v>
      </c>
      <c r="U32" s="307" t="str">
        <f t="shared" si="1"/>
        <v>Probabilidad</v>
      </c>
      <c r="V32" s="259" t="s">
        <v>13</v>
      </c>
      <c r="W32" s="259" t="s">
        <v>8</v>
      </c>
      <c r="X32" s="260" t="str">
        <f>IF(AND(V32="Preventivo",W32="Automático"),"50%",IF(AND(V32="Preventivo",W32="Manual"),"40%",IF(AND(V32="Detectivo",W32="Automático"),"40%",IF(AND(V32="Detectivo",W32="Manual"),"30%",IF(AND(V32="Correctivo",W32="Automático"),"35%",IF(AND(V32="Correctivo",W32="Manual"),"25%",""))))))</f>
        <v>40%</v>
      </c>
      <c r="Y32" s="259" t="s">
        <v>19</v>
      </c>
      <c r="Z32" s="259" t="s">
        <v>21</v>
      </c>
      <c r="AA32" s="259" t="s">
        <v>103</v>
      </c>
      <c r="AB32" s="261">
        <f>IFERROR(IF(U32="Probabilidad",(L32-(+L32*X32)),IF(U32="Impacto",L32,"")),"")</f>
        <v>0.24</v>
      </c>
      <c r="AC32" s="262" t="str">
        <f>IFERROR(IF(AB32="","",IF(AB32&lt;=0.2,"Muy Baja",IF(AB32&lt;=0.4,"Baja",IF(AB32&lt;=0.6,"Media",IF(AB32&lt;=0.8,"Alta","Muy Alta"))))),"")</f>
        <v>Baja</v>
      </c>
      <c r="AD32" s="260">
        <f>+AB32</f>
        <v>0.24</v>
      </c>
      <c r="AE32" s="262" t="str">
        <f>IFERROR(IF(AF32="","",IF(AF32&lt;=0.2,"Leve",IF(AF32&lt;=0.4,"Menor",IF(AF32&lt;=0.6,"Moderado",IF(AF32&lt;=0.8,"Mayor","Catastrófico"))))),"")</f>
        <v>Catastrófico</v>
      </c>
      <c r="AF32" s="260">
        <f>IFERROR(IF(U32="Impacto",(O32-(+O32*X32)),IF(U32="Probabilidad",O32,"")),"")</f>
        <v>1</v>
      </c>
      <c r="AG32" s="264" t="str">
        <f>IFERROR(IF(OR(AND(AC32="Muy Baja",AE32="Leve"),AND(AC32="Muy Baja",AE32="Menor"),AND(AC32="Baja",AE32="Leve")),"Bajo",IF(OR(AND(AC32="Muy baja",AE32="Moderado"),AND(AC32="Baja",AE32="Menor"),AND(AC32="Baja",AE32="Moderado"),AND(AC32="Media",AE32="Leve"),AND(AC32="Media",AE32="Menor"),AND(AC32="Media",AE32="Moderado"),AND(AC32="Alta",AE32="Leve"),AND(AC32="Alta",AE32="Menor")),"Moderado",IF(OR(AND(AC32="Muy Baja",AE32="Mayor"),AND(AC32="Baja",AE32="Mayor"),AND(AC32="Media",AE32="Mayor"),AND(AC32="Alta",AE32="Moderado"),AND(AC32="Alta",AE32="Mayor"),AND(AC32="Muy Alta",AE32="Leve"),AND(AC32="Muy Alta",AE32="Menor"),AND(AC32="Muy Alta",AE32="Moderado"),AND(AC32="Muy Alta",AE32="Mayor")),"Alto",IF(OR(AND(AC32="Muy Baja",AE32="Catastrófico"),AND(AC32="Baja",AE32="Catastrófico"),AND(AC32="Media",AE32="Catastrófico"),AND(AC32="Alta",AE32="Catastrófico"),AND(AC32="Muy Alta",AE32="Catastrófico")),"Extremo","")))),"")</f>
        <v>Extremo</v>
      </c>
      <c r="AH32" s="259" t="s">
        <v>26</v>
      </c>
      <c r="AI32" s="307">
        <v>3</v>
      </c>
      <c r="AJ32" s="307">
        <v>1</v>
      </c>
      <c r="AK32" s="307">
        <v>1</v>
      </c>
      <c r="AL32" s="307">
        <v>1</v>
      </c>
      <c r="AM32" s="245"/>
      <c r="AN32" s="245"/>
      <c r="AO32" s="247"/>
      <c r="AP32" s="319"/>
      <c r="AQ32" s="319"/>
      <c r="AR32" s="319"/>
      <c r="AS32" s="319"/>
      <c r="AT32" s="319"/>
      <c r="AU32" s="319"/>
      <c r="AV32" s="319"/>
      <c r="AW32" s="319"/>
      <c r="AX32" s="319"/>
      <c r="AY32" s="319"/>
      <c r="AZ32" s="319"/>
      <c r="BA32" s="319"/>
      <c r="BB32" s="319"/>
      <c r="BC32" s="319"/>
      <c r="BD32" s="319"/>
      <c r="BE32" s="319"/>
      <c r="BF32" s="319"/>
      <c r="BG32" s="319"/>
      <c r="BH32" s="319"/>
      <c r="BI32" s="319"/>
      <c r="BJ32" s="319"/>
      <c r="BK32" s="319"/>
      <c r="BL32" s="319"/>
      <c r="BM32" s="319"/>
      <c r="BN32" s="319"/>
      <c r="BO32" s="319"/>
      <c r="BP32" s="319"/>
      <c r="BQ32" s="319"/>
      <c r="BR32" s="319"/>
      <c r="BS32" s="319"/>
      <c r="BT32" s="319"/>
      <c r="BU32" s="319"/>
      <c r="BV32" s="319"/>
      <c r="BW32" s="319"/>
      <c r="BX32" s="319"/>
      <c r="BY32" s="319"/>
      <c r="BZ32" s="319"/>
      <c r="CA32" s="319"/>
      <c r="CB32" s="319"/>
      <c r="CC32" s="319"/>
      <c r="CD32" s="319"/>
      <c r="CE32" s="319"/>
      <c r="CF32" s="319"/>
      <c r="CG32" s="319"/>
      <c r="CH32" s="319"/>
      <c r="CI32" s="319"/>
      <c r="CJ32" s="319"/>
      <c r="CK32" s="319"/>
      <c r="CL32" s="319"/>
      <c r="CM32" s="319"/>
      <c r="CN32" s="319"/>
      <c r="CO32" s="319"/>
      <c r="CP32" s="319"/>
      <c r="CQ32" s="319"/>
      <c r="CR32" s="319"/>
    </row>
    <row r="33" spans="1:96" s="321" customFormat="1" ht="12.75" x14ac:dyDescent="0.25">
      <c r="A33" s="242"/>
      <c r="B33" s="242"/>
      <c r="C33" s="241"/>
      <c r="D33" s="241"/>
      <c r="E33" s="242"/>
      <c r="F33" s="242"/>
      <c r="H33" s="242"/>
      <c r="I33" s="242"/>
      <c r="S33" s="242"/>
      <c r="T33" s="242"/>
      <c r="AP33" s="319"/>
      <c r="AQ33" s="319"/>
      <c r="AR33" s="319"/>
      <c r="AS33" s="319"/>
      <c r="AT33" s="319"/>
      <c r="AU33" s="319"/>
      <c r="AV33" s="319"/>
      <c r="AW33" s="319"/>
      <c r="AX33" s="319"/>
      <c r="AY33" s="319"/>
      <c r="AZ33" s="319"/>
      <c r="BA33" s="319"/>
      <c r="BB33" s="319"/>
      <c r="BC33" s="319"/>
      <c r="BD33" s="319"/>
      <c r="BE33" s="319"/>
      <c r="BF33" s="319"/>
      <c r="BG33" s="319"/>
      <c r="BH33" s="319"/>
      <c r="BI33" s="319"/>
      <c r="BJ33" s="319"/>
      <c r="BK33" s="319"/>
      <c r="BL33" s="319"/>
      <c r="BM33" s="319"/>
      <c r="BN33" s="319"/>
      <c r="BO33" s="319"/>
      <c r="BP33" s="319"/>
      <c r="BQ33" s="319"/>
      <c r="BR33" s="319"/>
      <c r="BS33" s="319"/>
      <c r="BT33" s="319"/>
      <c r="BU33" s="319"/>
      <c r="BV33" s="319"/>
      <c r="BW33" s="319"/>
      <c r="BX33" s="319"/>
      <c r="BY33" s="319"/>
      <c r="BZ33" s="319"/>
      <c r="CA33" s="319"/>
      <c r="CB33" s="319"/>
      <c r="CC33" s="319"/>
      <c r="CD33" s="319"/>
      <c r="CE33" s="319"/>
      <c r="CF33" s="319"/>
      <c r="CG33" s="319"/>
      <c r="CH33" s="319"/>
      <c r="CI33" s="319"/>
      <c r="CJ33" s="319"/>
      <c r="CK33" s="319"/>
      <c r="CL33" s="319"/>
      <c r="CM33" s="319"/>
      <c r="CN33" s="319"/>
      <c r="CO33" s="319"/>
      <c r="CP33" s="319"/>
      <c r="CQ33" s="319"/>
      <c r="CR33" s="319"/>
    </row>
    <row r="34" spans="1:96" s="321" customFormat="1" ht="12.75" x14ac:dyDescent="0.25">
      <c r="A34" s="242"/>
      <c r="B34" s="242"/>
      <c r="C34" s="241"/>
      <c r="D34" s="241"/>
      <c r="E34" s="242"/>
      <c r="F34" s="242"/>
      <c r="H34" s="242"/>
      <c r="I34" s="242"/>
      <c r="S34" s="242"/>
      <c r="T34" s="242"/>
      <c r="AP34" s="319"/>
      <c r="AQ34" s="319"/>
      <c r="AR34" s="319"/>
      <c r="AS34" s="319"/>
      <c r="AT34" s="319"/>
      <c r="AU34" s="319"/>
      <c r="AV34" s="319"/>
      <c r="AW34" s="319"/>
      <c r="AX34" s="319"/>
      <c r="AY34" s="319"/>
      <c r="AZ34" s="319"/>
      <c r="BA34" s="319"/>
      <c r="BB34" s="319"/>
      <c r="BC34" s="319"/>
      <c r="BD34" s="319"/>
      <c r="BE34" s="319"/>
      <c r="BF34" s="319"/>
      <c r="BG34" s="319"/>
      <c r="BH34" s="319"/>
      <c r="BI34" s="319"/>
      <c r="BJ34" s="319"/>
      <c r="BK34" s="319"/>
      <c r="BL34" s="319"/>
      <c r="BM34" s="319"/>
      <c r="BN34" s="319"/>
      <c r="BO34" s="319"/>
      <c r="BP34" s="319"/>
      <c r="BQ34" s="319"/>
      <c r="BR34" s="319"/>
      <c r="BS34" s="319"/>
      <c r="BT34" s="319"/>
      <c r="BU34" s="319"/>
      <c r="BV34" s="319"/>
      <c r="BW34" s="319"/>
      <c r="BX34" s="319"/>
      <c r="BY34" s="319"/>
      <c r="BZ34" s="319"/>
      <c r="CA34" s="319"/>
      <c r="CB34" s="319"/>
      <c r="CC34" s="319"/>
      <c r="CD34" s="319"/>
      <c r="CE34" s="319"/>
      <c r="CF34" s="319"/>
      <c r="CG34" s="319"/>
      <c r="CH34" s="319"/>
      <c r="CI34" s="319"/>
      <c r="CJ34" s="319"/>
      <c r="CK34" s="319"/>
      <c r="CL34" s="319"/>
      <c r="CM34" s="319"/>
      <c r="CN34" s="319"/>
      <c r="CO34" s="319"/>
      <c r="CP34" s="319"/>
      <c r="CQ34" s="319"/>
      <c r="CR34" s="319"/>
    </row>
    <row r="35" spans="1:96" s="321" customFormat="1" ht="12.75" x14ac:dyDescent="0.25">
      <c r="A35" s="242"/>
      <c r="B35" s="242"/>
      <c r="C35" s="241"/>
      <c r="D35" s="241"/>
      <c r="E35" s="242"/>
      <c r="F35" s="242"/>
      <c r="H35" s="242"/>
      <c r="I35" s="242"/>
      <c r="S35" s="242"/>
      <c r="T35" s="242"/>
      <c r="AP35" s="319"/>
      <c r="AQ35" s="319"/>
      <c r="AR35" s="319"/>
      <c r="AS35" s="319"/>
      <c r="AT35" s="319"/>
      <c r="AU35" s="319"/>
      <c r="AV35" s="319"/>
      <c r="AW35" s="319"/>
      <c r="AX35" s="319"/>
      <c r="AY35" s="319"/>
      <c r="AZ35" s="319"/>
      <c r="BA35" s="319"/>
      <c r="BB35" s="319"/>
      <c r="BC35" s="319"/>
      <c r="BD35" s="319"/>
      <c r="BE35" s="319"/>
      <c r="BF35" s="319"/>
      <c r="BG35" s="319"/>
      <c r="BH35" s="319"/>
      <c r="BI35" s="319"/>
      <c r="BJ35" s="319"/>
      <c r="BK35" s="319"/>
      <c r="BL35" s="319"/>
      <c r="BM35" s="319"/>
      <c r="BN35" s="319"/>
      <c r="BO35" s="319"/>
      <c r="BP35" s="319"/>
      <c r="BQ35" s="319"/>
      <c r="BR35" s="319"/>
      <c r="BS35" s="319"/>
      <c r="BT35" s="319"/>
      <c r="BU35" s="319"/>
      <c r="BV35" s="319"/>
      <c r="BW35" s="319"/>
      <c r="BX35" s="319"/>
      <c r="BY35" s="319"/>
      <c r="BZ35" s="319"/>
      <c r="CA35" s="319"/>
      <c r="CB35" s="319"/>
      <c r="CC35" s="319"/>
      <c r="CD35" s="319"/>
      <c r="CE35" s="319"/>
      <c r="CF35" s="319"/>
      <c r="CG35" s="319"/>
      <c r="CH35" s="319"/>
      <c r="CI35" s="319"/>
      <c r="CJ35" s="319"/>
      <c r="CK35" s="319"/>
      <c r="CL35" s="319"/>
      <c r="CM35" s="319"/>
      <c r="CN35" s="319"/>
      <c r="CO35" s="319"/>
      <c r="CP35" s="319"/>
      <c r="CQ35" s="319"/>
      <c r="CR35" s="319"/>
    </row>
    <row r="36" spans="1:96" s="321" customFormat="1" ht="12.75" x14ac:dyDescent="0.25">
      <c r="A36" s="242"/>
      <c r="B36" s="242"/>
      <c r="C36" s="241"/>
      <c r="D36" s="241"/>
      <c r="E36" s="242"/>
      <c r="F36" s="242"/>
      <c r="H36" s="242"/>
      <c r="I36" s="242"/>
      <c r="S36" s="242"/>
      <c r="T36" s="242"/>
      <c r="AP36" s="319"/>
      <c r="AQ36" s="319"/>
      <c r="AR36" s="319"/>
      <c r="AS36" s="319"/>
      <c r="AT36" s="319"/>
      <c r="AU36" s="319"/>
      <c r="AV36" s="319"/>
      <c r="AW36" s="319"/>
      <c r="AX36" s="319"/>
      <c r="AY36" s="319"/>
      <c r="AZ36" s="319"/>
      <c r="BA36" s="319"/>
      <c r="BB36" s="319"/>
      <c r="BC36" s="319"/>
      <c r="BD36" s="319"/>
      <c r="BE36" s="319"/>
      <c r="BF36" s="319"/>
      <c r="BG36" s="319"/>
      <c r="BH36" s="319"/>
      <c r="BI36" s="319"/>
      <c r="BJ36" s="319"/>
      <c r="BK36" s="319"/>
      <c r="BL36" s="319"/>
      <c r="BM36" s="319"/>
      <c r="BN36" s="319"/>
      <c r="BO36" s="319"/>
      <c r="BP36" s="319"/>
      <c r="BQ36" s="319"/>
      <c r="BR36" s="319"/>
      <c r="BS36" s="319"/>
      <c r="BT36" s="319"/>
      <c r="BU36" s="319"/>
      <c r="BV36" s="319"/>
      <c r="BW36" s="319"/>
      <c r="BX36" s="319"/>
      <c r="BY36" s="319"/>
      <c r="BZ36" s="319"/>
      <c r="CA36" s="319"/>
      <c r="CB36" s="319"/>
      <c r="CC36" s="319"/>
      <c r="CD36" s="319"/>
      <c r="CE36" s="319"/>
      <c r="CF36" s="319"/>
      <c r="CG36" s="319"/>
      <c r="CH36" s="319"/>
      <c r="CI36" s="319"/>
      <c r="CJ36" s="319"/>
      <c r="CK36" s="319"/>
      <c r="CL36" s="319"/>
      <c r="CM36" s="319"/>
      <c r="CN36" s="319"/>
      <c r="CO36" s="319"/>
      <c r="CP36" s="319"/>
      <c r="CQ36" s="319"/>
      <c r="CR36" s="319"/>
    </row>
    <row r="37" spans="1:96" s="321" customFormat="1" ht="12.75" x14ac:dyDescent="0.25">
      <c r="A37" s="242"/>
      <c r="B37" s="242"/>
      <c r="C37" s="241"/>
      <c r="D37" s="241"/>
      <c r="E37" s="242"/>
      <c r="F37" s="242"/>
      <c r="H37" s="242"/>
      <c r="I37" s="242"/>
      <c r="S37" s="242"/>
      <c r="T37" s="242"/>
      <c r="AP37" s="319"/>
      <c r="AQ37" s="319"/>
      <c r="AR37" s="319"/>
      <c r="AS37" s="319"/>
      <c r="AT37" s="319"/>
      <c r="AU37" s="319"/>
      <c r="AV37" s="319"/>
      <c r="AW37" s="319"/>
      <c r="AX37" s="319"/>
      <c r="AY37" s="319"/>
      <c r="AZ37" s="319"/>
      <c r="BA37" s="319"/>
      <c r="BB37" s="319"/>
      <c r="BC37" s="319"/>
      <c r="BD37" s="319"/>
      <c r="BE37" s="319"/>
      <c r="BF37" s="319"/>
      <c r="BG37" s="319"/>
      <c r="BH37" s="319"/>
      <c r="BI37" s="319"/>
      <c r="BJ37" s="319"/>
      <c r="BK37" s="319"/>
      <c r="BL37" s="319"/>
      <c r="BM37" s="319"/>
      <c r="BN37" s="319"/>
      <c r="BO37" s="319"/>
      <c r="BP37" s="319"/>
      <c r="BQ37" s="319"/>
      <c r="BR37" s="319"/>
      <c r="BS37" s="319"/>
      <c r="BT37" s="319"/>
      <c r="BU37" s="319"/>
      <c r="BV37" s="319"/>
      <c r="BW37" s="319"/>
      <c r="BX37" s="319"/>
      <c r="BY37" s="319"/>
      <c r="BZ37" s="319"/>
      <c r="CA37" s="319"/>
      <c r="CB37" s="319"/>
      <c r="CC37" s="319"/>
      <c r="CD37" s="319"/>
      <c r="CE37" s="319"/>
      <c r="CF37" s="319"/>
      <c r="CG37" s="319"/>
      <c r="CH37" s="319"/>
      <c r="CI37" s="319"/>
      <c r="CJ37" s="319"/>
      <c r="CK37" s="319"/>
      <c r="CL37" s="319"/>
      <c r="CM37" s="319"/>
      <c r="CN37" s="319"/>
      <c r="CO37" s="319"/>
      <c r="CP37" s="319"/>
      <c r="CQ37" s="319"/>
      <c r="CR37" s="319"/>
    </row>
    <row r="38" spans="1:96" s="321" customFormat="1" ht="12.75" x14ac:dyDescent="0.25">
      <c r="A38" s="242"/>
      <c r="B38" s="242"/>
      <c r="C38" s="241"/>
      <c r="D38" s="241"/>
      <c r="E38" s="242"/>
      <c r="F38" s="242"/>
      <c r="H38" s="242"/>
      <c r="I38" s="242"/>
      <c r="S38" s="242"/>
      <c r="T38" s="242"/>
      <c r="AP38" s="319"/>
      <c r="AQ38" s="319"/>
      <c r="AR38" s="319"/>
      <c r="AS38" s="319"/>
      <c r="AT38" s="319"/>
      <c r="AU38" s="319"/>
      <c r="AV38" s="319"/>
      <c r="AW38" s="319"/>
      <c r="AX38" s="319"/>
      <c r="AY38" s="319"/>
      <c r="AZ38" s="319"/>
      <c r="BA38" s="319"/>
      <c r="BB38" s="319"/>
      <c r="BC38" s="319"/>
      <c r="BD38" s="319"/>
      <c r="BE38" s="319"/>
      <c r="BF38" s="319"/>
      <c r="BG38" s="319"/>
      <c r="BH38" s="319"/>
      <c r="BI38" s="319"/>
      <c r="BJ38" s="319"/>
      <c r="BK38" s="319"/>
      <c r="BL38" s="319"/>
      <c r="BM38" s="319"/>
      <c r="BN38" s="319"/>
      <c r="BO38" s="319"/>
      <c r="BP38" s="319"/>
      <c r="BQ38" s="319"/>
      <c r="BR38" s="319"/>
      <c r="BS38" s="319"/>
      <c r="BT38" s="319"/>
      <c r="BU38" s="319"/>
      <c r="BV38" s="319"/>
      <c r="BW38" s="319"/>
      <c r="BX38" s="319"/>
      <c r="BY38" s="319"/>
      <c r="BZ38" s="319"/>
      <c r="CA38" s="319"/>
      <c r="CB38" s="319"/>
      <c r="CC38" s="319"/>
      <c r="CD38" s="319"/>
      <c r="CE38" s="319"/>
      <c r="CF38" s="319"/>
      <c r="CG38" s="319"/>
      <c r="CH38" s="319"/>
      <c r="CI38" s="319"/>
      <c r="CJ38" s="319"/>
      <c r="CK38" s="319"/>
      <c r="CL38" s="319"/>
      <c r="CM38" s="319"/>
      <c r="CN38" s="319"/>
      <c r="CO38" s="319"/>
      <c r="CP38" s="319"/>
      <c r="CQ38" s="319"/>
      <c r="CR38" s="319"/>
    </row>
    <row r="39" spans="1:96" s="321" customFormat="1" ht="12.75" x14ac:dyDescent="0.25">
      <c r="A39" s="242"/>
      <c r="B39" s="242"/>
      <c r="C39" s="241"/>
      <c r="D39" s="241"/>
      <c r="E39" s="242"/>
      <c r="F39" s="242"/>
      <c r="H39" s="242"/>
      <c r="I39" s="242"/>
      <c r="S39" s="242"/>
      <c r="T39" s="242"/>
      <c r="AP39" s="319"/>
      <c r="AQ39" s="319"/>
      <c r="AR39" s="319"/>
      <c r="AS39" s="319"/>
      <c r="AT39" s="319"/>
      <c r="AU39" s="319"/>
      <c r="AV39" s="319"/>
      <c r="AW39" s="319"/>
      <c r="AX39" s="319"/>
      <c r="AY39" s="319"/>
      <c r="AZ39" s="319"/>
      <c r="BA39" s="319"/>
      <c r="BB39" s="319"/>
      <c r="BC39" s="319"/>
      <c r="BD39" s="319"/>
      <c r="BE39" s="319"/>
      <c r="BF39" s="319"/>
      <c r="BG39" s="319"/>
      <c r="BH39" s="319"/>
      <c r="BI39" s="319"/>
      <c r="BJ39" s="319"/>
      <c r="BK39" s="319"/>
      <c r="BL39" s="319"/>
      <c r="BM39" s="319"/>
      <c r="BN39" s="319"/>
      <c r="BO39" s="319"/>
      <c r="BP39" s="319"/>
      <c r="BQ39" s="319"/>
      <c r="BR39" s="319"/>
      <c r="BS39" s="319"/>
      <c r="BT39" s="319"/>
      <c r="BU39" s="319"/>
      <c r="BV39" s="319"/>
      <c r="BW39" s="319"/>
      <c r="BX39" s="319"/>
      <c r="BY39" s="319"/>
      <c r="BZ39" s="319"/>
      <c r="CA39" s="319"/>
      <c r="CB39" s="319"/>
      <c r="CC39" s="319"/>
      <c r="CD39" s="319"/>
      <c r="CE39" s="319"/>
      <c r="CF39" s="319"/>
      <c r="CG39" s="319"/>
      <c r="CH39" s="319"/>
      <c r="CI39" s="319"/>
      <c r="CJ39" s="319"/>
      <c r="CK39" s="319"/>
      <c r="CL39" s="319"/>
      <c r="CM39" s="319"/>
      <c r="CN39" s="319"/>
      <c r="CO39" s="319"/>
      <c r="CP39" s="319"/>
      <c r="CQ39" s="319"/>
      <c r="CR39" s="319"/>
    </row>
    <row r="40" spans="1:96" s="321" customFormat="1" ht="12.75" x14ac:dyDescent="0.25">
      <c r="A40" s="242"/>
      <c r="B40" s="242"/>
      <c r="C40" s="241"/>
      <c r="D40" s="241"/>
      <c r="E40" s="242"/>
      <c r="F40" s="242"/>
      <c r="H40" s="242"/>
      <c r="I40" s="242"/>
      <c r="S40" s="242"/>
      <c r="T40" s="242"/>
      <c r="AP40" s="319"/>
      <c r="AQ40" s="319"/>
      <c r="AR40" s="319"/>
      <c r="AS40" s="319"/>
      <c r="AT40" s="319"/>
      <c r="AU40" s="319"/>
      <c r="AV40" s="319"/>
      <c r="AW40" s="319"/>
      <c r="AX40" s="319"/>
      <c r="AY40" s="319"/>
      <c r="AZ40" s="319"/>
      <c r="BA40" s="319"/>
      <c r="BB40" s="319"/>
      <c r="BC40" s="319"/>
      <c r="BD40" s="319"/>
      <c r="BE40" s="319"/>
      <c r="BF40" s="319"/>
      <c r="BG40" s="319"/>
      <c r="BH40" s="319"/>
      <c r="BI40" s="319"/>
      <c r="BJ40" s="319"/>
      <c r="BK40" s="319"/>
      <c r="BL40" s="319"/>
      <c r="BM40" s="319"/>
      <c r="BN40" s="319"/>
      <c r="BO40" s="319"/>
      <c r="BP40" s="319"/>
      <c r="BQ40" s="319"/>
      <c r="BR40" s="319"/>
      <c r="BS40" s="319"/>
      <c r="BT40" s="319"/>
      <c r="BU40" s="319"/>
      <c r="BV40" s="319"/>
      <c r="BW40" s="319"/>
      <c r="BX40" s="319"/>
      <c r="BY40" s="319"/>
      <c r="BZ40" s="319"/>
      <c r="CA40" s="319"/>
      <c r="CB40" s="319"/>
      <c r="CC40" s="319"/>
      <c r="CD40" s="319"/>
      <c r="CE40" s="319"/>
      <c r="CF40" s="319"/>
      <c r="CG40" s="319"/>
      <c r="CH40" s="319"/>
      <c r="CI40" s="319"/>
      <c r="CJ40" s="319"/>
      <c r="CK40" s="319"/>
      <c r="CL40" s="319"/>
      <c r="CM40" s="319"/>
      <c r="CN40" s="319"/>
      <c r="CO40" s="319"/>
      <c r="CP40" s="319"/>
      <c r="CQ40" s="319"/>
      <c r="CR40" s="319"/>
    </row>
    <row r="41" spans="1:96" s="321" customFormat="1" ht="12.75" x14ac:dyDescent="0.25">
      <c r="A41" s="242"/>
      <c r="B41" s="242"/>
      <c r="C41" s="241"/>
      <c r="D41" s="241"/>
      <c r="E41" s="242"/>
      <c r="F41" s="242"/>
      <c r="H41" s="242"/>
      <c r="I41" s="242"/>
      <c r="S41" s="242"/>
      <c r="T41" s="242"/>
      <c r="AP41" s="319"/>
      <c r="AQ41" s="319"/>
      <c r="AR41" s="319"/>
      <c r="AS41" s="319"/>
      <c r="AT41" s="319"/>
      <c r="AU41" s="319"/>
      <c r="AV41" s="319"/>
      <c r="AW41" s="319"/>
      <c r="AX41" s="319"/>
      <c r="AY41" s="319"/>
      <c r="AZ41" s="319"/>
      <c r="BA41" s="319"/>
      <c r="BB41" s="319"/>
      <c r="BC41" s="319"/>
      <c r="BD41" s="319"/>
      <c r="BE41" s="319"/>
      <c r="BF41" s="319"/>
      <c r="BG41" s="319"/>
      <c r="BH41" s="319"/>
      <c r="BI41" s="319"/>
      <c r="BJ41" s="319"/>
      <c r="BK41" s="319"/>
      <c r="BL41" s="319"/>
      <c r="BM41" s="319"/>
      <c r="BN41" s="319"/>
      <c r="BO41" s="319"/>
      <c r="BP41" s="319"/>
      <c r="BQ41" s="319"/>
      <c r="BR41" s="319"/>
      <c r="BS41" s="319"/>
      <c r="BT41" s="319"/>
      <c r="BU41" s="319"/>
      <c r="BV41" s="319"/>
      <c r="BW41" s="319"/>
      <c r="BX41" s="319"/>
      <c r="BY41" s="319"/>
      <c r="BZ41" s="319"/>
      <c r="CA41" s="319"/>
      <c r="CB41" s="319"/>
      <c r="CC41" s="319"/>
      <c r="CD41" s="319"/>
      <c r="CE41" s="319"/>
      <c r="CF41" s="319"/>
      <c r="CG41" s="319"/>
      <c r="CH41" s="319"/>
      <c r="CI41" s="319"/>
      <c r="CJ41" s="319"/>
      <c r="CK41" s="319"/>
      <c r="CL41" s="319"/>
      <c r="CM41" s="319"/>
      <c r="CN41" s="319"/>
      <c r="CO41" s="319"/>
      <c r="CP41" s="319"/>
      <c r="CQ41" s="319"/>
      <c r="CR41" s="319"/>
    </row>
    <row r="42" spans="1:96" s="321" customFormat="1" ht="12.75" x14ac:dyDescent="0.25">
      <c r="A42" s="242"/>
      <c r="B42" s="242"/>
      <c r="C42" s="241"/>
      <c r="D42" s="241"/>
      <c r="E42" s="242"/>
      <c r="F42" s="242"/>
      <c r="H42" s="242"/>
      <c r="I42" s="242"/>
      <c r="S42" s="242"/>
      <c r="T42" s="242"/>
      <c r="AP42" s="319"/>
      <c r="AQ42" s="319"/>
      <c r="AR42" s="319"/>
      <c r="AS42" s="319"/>
      <c r="AT42" s="319"/>
      <c r="AU42" s="319"/>
      <c r="AV42" s="319"/>
      <c r="AW42" s="319"/>
      <c r="AX42" s="319"/>
      <c r="AY42" s="319"/>
      <c r="AZ42" s="319"/>
      <c r="BA42" s="319"/>
      <c r="BB42" s="319"/>
      <c r="BC42" s="319"/>
      <c r="BD42" s="319"/>
      <c r="BE42" s="319"/>
      <c r="BF42" s="319"/>
      <c r="BG42" s="319"/>
      <c r="BH42" s="319"/>
      <c r="BI42" s="319"/>
      <c r="BJ42" s="319"/>
      <c r="BK42" s="319"/>
      <c r="BL42" s="319"/>
      <c r="BM42" s="319"/>
      <c r="BN42" s="319"/>
      <c r="BO42" s="319"/>
      <c r="BP42" s="319"/>
      <c r="BQ42" s="319"/>
      <c r="BR42" s="319"/>
      <c r="BS42" s="319"/>
      <c r="BT42" s="319"/>
      <c r="BU42" s="319"/>
      <c r="BV42" s="319"/>
      <c r="BW42" s="319"/>
      <c r="BX42" s="319"/>
      <c r="BY42" s="319"/>
      <c r="BZ42" s="319"/>
      <c r="CA42" s="319"/>
      <c r="CB42" s="319"/>
      <c r="CC42" s="319"/>
      <c r="CD42" s="319"/>
      <c r="CE42" s="319"/>
      <c r="CF42" s="319"/>
      <c r="CG42" s="319"/>
      <c r="CH42" s="319"/>
      <c r="CI42" s="319"/>
      <c r="CJ42" s="319"/>
      <c r="CK42" s="319"/>
      <c r="CL42" s="319"/>
      <c r="CM42" s="319"/>
      <c r="CN42" s="319"/>
      <c r="CO42" s="319"/>
      <c r="CP42" s="319"/>
      <c r="CQ42" s="319"/>
      <c r="CR42" s="319"/>
    </row>
    <row r="43" spans="1:96" s="321" customFormat="1" ht="12.75" x14ac:dyDescent="0.25">
      <c r="A43" s="242"/>
      <c r="B43" s="242"/>
      <c r="C43" s="241"/>
      <c r="D43" s="241"/>
      <c r="E43" s="242"/>
      <c r="F43" s="242"/>
      <c r="H43" s="242"/>
      <c r="I43" s="242"/>
      <c r="S43" s="242"/>
      <c r="T43" s="242"/>
      <c r="AP43" s="319"/>
      <c r="AQ43" s="319"/>
      <c r="AR43" s="319"/>
      <c r="AS43" s="319"/>
      <c r="AT43" s="319"/>
      <c r="AU43" s="319"/>
      <c r="AV43" s="319"/>
      <c r="AW43" s="319"/>
      <c r="AX43" s="319"/>
      <c r="AY43" s="319"/>
      <c r="AZ43" s="319"/>
      <c r="BA43" s="319"/>
      <c r="BB43" s="319"/>
      <c r="BC43" s="319"/>
      <c r="BD43" s="319"/>
      <c r="BE43" s="319"/>
      <c r="BF43" s="319"/>
      <c r="BG43" s="319"/>
      <c r="BH43" s="319"/>
      <c r="BI43" s="319"/>
      <c r="BJ43" s="319"/>
      <c r="BK43" s="319"/>
      <c r="BL43" s="319"/>
      <c r="BM43" s="319"/>
      <c r="BN43" s="319"/>
      <c r="BO43" s="319"/>
      <c r="BP43" s="319"/>
      <c r="BQ43" s="319"/>
      <c r="BR43" s="319"/>
      <c r="BS43" s="319"/>
      <c r="BT43" s="319"/>
      <c r="BU43" s="319"/>
      <c r="BV43" s="319"/>
      <c r="BW43" s="319"/>
      <c r="BX43" s="319"/>
      <c r="BY43" s="319"/>
      <c r="BZ43" s="319"/>
      <c r="CA43" s="319"/>
      <c r="CB43" s="319"/>
      <c r="CC43" s="319"/>
      <c r="CD43" s="319"/>
      <c r="CE43" s="319"/>
      <c r="CF43" s="319"/>
      <c r="CG43" s="319"/>
      <c r="CH43" s="319"/>
      <c r="CI43" s="319"/>
      <c r="CJ43" s="319"/>
      <c r="CK43" s="319"/>
      <c r="CL43" s="319"/>
      <c r="CM43" s="319"/>
      <c r="CN43" s="319"/>
      <c r="CO43" s="319"/>
      <c r="CP43" s="319"/>
      <c r="CQ43" s="319"/>
      <c r="CR43" s="319"/>
    </row>
    <row r="44" spans="1:96" s="321" customFormat="1" ht="12.75" x14ac:dyDescent="0.25">
      <c r="A44" s="242"/>
      <c r="B44" s="242"/>
      <c r="C44" s="241"/>
      <c r="D44" s="241"/>
      <c r="E44" s="242"/>
      <c r="F44" s="242"/>
      <c r="H44" s="242"/>
      <c r="I44" s="242"/>
      <c r="S44" s="242"/>
      <c r="T44" s="242"/>
      <c r="AP44" s="319"/>
      <c r="AQ44" s="319"/>
      <c r="AR44" s="319"/>
      <c r="AS44" s="319"/>
      <c r="AT44" s="319"/>
      <c r="AU44" s="319"/>
      <c r="AV44" s="319"/>
      <c r="AW44" s="319"/>
      <c r="AX44" s="319"/>
      <c r="AY44" s="319"/>
      <c r="AZ44" s="319"/>
      <c r="BA44" s="319"/>
      <c r="BB44" s="319"/>
      <c r="BC44" s="319"/>
      <c r="BD44" s="319"/>
      <c r="BE44" s="319"/>
      <c r="BF44" s="319"/>
      <c r="BG44" s="319"/>
      <c r="BH44" s="319"/>
      <c r="BI44" s="319"/>
      <c r="BJ44" s="319"/>
      <c r="BK44" s="319"/>
      <c r="BL44" s="319"/>
      <c r="BM44" s="319"/>
      <c r="BN44" s="319"/>
      <c r="BO44" s="319"/>
      <c r="BP44" s="319"/>
      <c r="BQ44" s="319"/>
      <c r="BR44" s="319"/>
      <c r="BS44" s="319"/>
      <c r="BT44" s="319"/>
      <c r="BU44" s="319"/>
      <c r="BV44" s="319"/>
      <c r="BW44" s="319"/>
      <c r="BX44" s="319"/>
      <c r="BY44" s="319"/>
      <c r="BZ44" s="319"/>
      <c r="CA44" s="319"/>
      <c r="CB44" s="319"/>
      <c r="CC44" s="319"/>
      <c r="CD44" s="319"/>
      <c r="CE44" s="319"/>
      <c r="CF44" s="319"/>
      <c r="CG44" s="319"/>
      <c r="CH44" s="319"/>
      <c r="CI44" s="319"/>
      <c r="CJ44" s="319"/>
      <c r="CK44" s="319"/>
      <c r="CL44" s="319"/>
      <c r="CM44" s="319"/>
      <c r="CN44" s="319"/>
      <c r="CO44" s="319"/>
      <c r="CP44" s="319"/>
      <c r="CQ44" s="319"/>
      <c r="CR44" s="319"/>
    </row>
    <row r="45" spans="1:96" s="321" customFormat="1" ht="12.75" x14ac:dyDescent="0.25">
      <c r="A45" s="242"/>
      <c r="B45" s="242"/>
      <c r="C45" s="241"/>
      <c r="D45" s="241"/>
      <c r="E45" s="242"/>
      <c r="F45" s="242"/>
      <c r="H45" s="242"/>
      <c r="I45" s="242"/>
      <c r="S45" s="242"/>
      <c r="T45" s="242"/>
      <c r="AP45" s="319"/>
      <c r="AQ45" s="319"/>
      <c r="AR45" s="319"/>
      <c r="AS45" s="319"/>
      <c r="AT45" s="319"/>
      <c r="AU45" s="319"/>
      <c r="AV45" s="319"/>
      <c r="AW45" s="319"/>
      <c r="AX45" s="319"/>
      <c r="AY45" s="319"/>
      <c r="AZ45" s="319"/>
      <c r="BA45" s="319"/>
      <c r="BB45" s="319"/>
      <c r="BC45" s="319"/>
      <c r="BD45" s="319"/>
      <c r="BE45" s="319"/>
      <c r="BF45" s="319"/>
      <c r="BG45" s="319"/>
      <c r="BH45" s="319"/>
      <c r="BI45" s="319"/>
      <c r="BJ45" s="319"/>
      <c r="BK45" s="319"/>
      <c r="BL45" s="319"/>
      <c r="BM45" s="319"/>
      <c r="BN45" s="319"/>
      <c r="BO45" s="319"/>
      <c r="BP45" s="319"/>
      <c r="BQ45" s="319"/>
      <c r="BR45" s="319"/>
      <c r="BS45" s="319"/>
      <c r="BT45" s="319"/>
      <c r="BU45" s="319"/>
      <c r="BV45" s="319"/>
      <c r="BW45" s="319"/>
      <c r="BX45" s="319"/>
      <c r="BY45" s="319"/>
      <c r="BZ45" s="319"/>
      <c r="CA45" s="319"/>
      <c r="CB45" s="319"/>
      <c r="CC45" s="319"/>
      <c r="CD45" s="319"/>
      <c r="CE45" s="319"/>
      <c r="CF45" s="319"/>
      <c r="CG45" s="319"/>
      <c r="CH45" s="319"/>
      <c r="CI45" s="319"/>
      <c r="CJ45" s="319"/>
      <c r="CK45" s="319"/>
      <c r="CL45" s="319"/>
      <c r="CM45" s="319"/>
      <c r="CN45" s="319"/>
      <c r="CO45" s="319"/>
      <c r="CP45" s="319"/>
      <c r="CQ45" s="319"/>
      <c r="CR45" s="319"/>
    </row>
    <row r="46" spans="1:96" s="321" customFormat="1" ht="12.75" x14ac:dyDescent="0.25">
      <c r="A46" s="242"/>
      <c r="B46" s="242"/>
      <c r="C46" s="241"/>
      <c r="D46" s="241"/>
      <c r="E46" s="242"/>
      <c r="F46" s="242"/>
      <c r="H46" s="242"/>
      <c r="I46" s="242"/>
      <c r="S46" s="242"/>
      <c r="T46" s="242"/>
      <c r="AP46" s="319"/>
      <c r="AQ46" s="319"/>
      <c r="AR46" s="319"/>
      <c r="AS46" s="319"/>
      <c r="AT46" s="319"/>
      <c r="AU46" s="319"/>
      <c r="AV46" s="319"/>
      <c r="AW46" s="319"/>
      <c r="AX46" s="319"/>
      <c r="AY46" s="319"/>
      <c r="AZ46" s="319"/>
      <c r="BA46" s="319"/>
      <c r="BB46" s="319"/>
      <c r="BC46" s="319"/>
      <c r="BD46" s="319"/>
      <c r="BE46" s="319"/>
      <c r="BF46" s="319"/>
      <c r="BG46" s="319"/>
      <c r="BH46" s="319"/>
      <c r="BI46" s="319"/>
      <c r="BJ46" s="319"/>
      <c r="BK46" s="319"/>
      <c r="BL46" s="319"/>
      <c r="BM46" s="319"/>
      <c r="BN46" s="319"/>
      <c r="BO46" s="319"/>
      <c r="BP46" s="319"/>
      <c r="BQ46" s="319"/>
      <c r="BR46" s="319"/>
      <c r="BS46" s="319"/>
      <c r="BT46" s="319"/>
      <c r="BU46" s="319"/>
      <c r="BV46" s="319"/>
      <c r="BW46" s="319"/>
      <c r="BX46" s="319"/>
      <c r="BY46" s="319"/>
      <c r="BZ46" s="319"/>
      <c r="CA46" s="319"/>
      <c r="CB46" s="319"/>
      <c r="CC46" s="319"/>
      <c r="CD46" s="319"/>
      <c r="CE46" s="319"/>
      <c r="CF46" s="319"/>
      <c r="CG46" s="319"/>
      <c r="CH46" s="319"/>
      <c r="CI46" s="319"/>
      <c r="CJ46" s="319"/>
      <c r="CK46" s="319"/>
      <c r="CL46" s="319"/>
      <c r="CM46" s="319"/>
      <c r="CN46" s="319"/>
      <c r="CO46" s="319"/>
      <c r="CP46" s="319"/>
      <c r="CQ46" s="319"/>
      <c r="CR46" s="319"/>
    </row>
    <row r="47" spans="1:96" s="321" customFormat="1" ht="12.75" x14ac:dyDescent="0.25">
      <c r="A47" s="242"/>
      <c r="B47" s="242"/>
      <c r="C47" s="241"/>
      <c r="D47" s="241"/>
      <c r="E47" s="242"/>
      <c r="F47" s="242"/>
      <c r="H47" s="242"/>
      <c r="I47" s="242"/>
      <c r="S47" s="242"/>
      <c r="T47" s="242"/>
      <c r="AP47" s="319"/>
      <c r="AQ47" s="319"/>
      <c r="AR47" s="319"/>
      <c r="AS47" s="319"/>
      <c r="AT47" s="319"/>
      <c r="AU47" s="319"/>
      <c r="AV47" s="319"/>
      <c r="AW47" s="319"/>
      <c r="AX47" s="319"/>
      <c r="AY47" s="319"/>
      <c r="AZ47" s="319"/>
      <c r="BA47" s="319"/>
      <c r="BB47" s="319"/>
      <c r="BC47" s="319"/>
      <c r="BD47" s="319"/>
      <c r="BE47" s="319"/>
      <c r="BF47" s="319"/>
      <c r="BG47" s="319"/>
      <c r="BH47" s="319"/>
      <c r="BI47" s="319"/>
      <c r="BJ47" s="319"/>
      <c r="BK47" s="319"/>
      <c r="BL47" s="319"/>
      <c r="BM47" s="319"/>
      <c r="BN47" s="319"/>
      <c r="BO47" s="319"/>
      <c r="BP47" s="319"/>
      <c r="BQ47" s="319"/>
      <c r="BR47" s="319"/>
      <c r="BS47" s="319"/>
      <c r="BT47" s="319"/>
      <c r="BU47" s="319"/>
      <c r="BV47" s="319"/>
      <c r="BW47" s="319"/>
      <c r="BX47" s="319"/>
      <c r="BY47" s="319"/>
      <c r="BZ47" s="319"/>
      <c r="CA47" s="319"/>
      <c r="CB47" s="319"/>
      <c r="CC47" s="319"/>
      <c r="CD47" s="319"/>
      <c r="CE47" s="319"/>
      <c r="CF47" s="319"/>
      <c r="CG47" s="319"/>
      <c r="CH47" s="319"/>
      <c r="CI47" s="319"/>
      <c r="CJ47" s="319"/>
      <c r="CK47" s="319"/>
      <c r="CL47" s="319"/>
      <c r="CM47" s="319"/>
      <c r="CN47" s="319"/>
      <c r="CO47" s="319"/>
      <c r="CP47" s="319"/>
      <c r="CQ47" s="319"/>
      <c r="CR47" s="319"/>
    </row>
    <row r="48" spans="1:96" s="321" customFormat="1" ht="12.75" x14ac:dyDescent="0.25">
      <c r="A48" s="242"/>
      <c r="B48" s="242"/>
      <c r="C48" s="241"/>
      <c r="D48" s="241"/>
      <c r="E48" s="242"/>
      <c r="F48" s="242"/>
      <c r="H48" s="242"/>
      <c r="I48" s="242"/>
      <c r="S48" s="242"/>
      <c r="T48" s="242"/>
      <c r="AP48" s="319"/>
      <c r="AQ48" s="319"/>
      <c r="AR48" s="319"/>
      <c r="AS48" s="319"/>
      <c r="AT48" s="319"/>
      <c r="AU48" s="319"/>
      <c r="AV48" s="319"/>
      <c r="AW48" s="319"/>
      <c r="AX48" s="319"/>
      <c r="AY48" s="319"/>
      <c r="AZ48" s="319"/>
      <c r="BA48" s="319"/>
      <c r="BB48" s="319"/>
      <c r="BC48" s="319"/>
      <c r="BD48" s="319"/>
      <c r="BE48" s="319"/>
      <c r="BF48" s="319"/>
      <c r="BG48" s="319"/>
      <c r="BH48" s="319"/>
      <c r="BI48" s="319"/>
      <c r="BJ48" s="319"/>
      <c r="BK48" s="319"/>
      <c r="BL48" s="319"/>
      <c r="BM48" s="319"/>
      <c r="BN48" s="319"/>
      <c r="BO48" s="319"/>
      <c r="BP48" s="319"/>
      <c r="BQ48" s="319"/>
      <c r="BR48" s="319"/>
      <c r="BS48" s="319"/>
      <c r="BT48" s="319"/>
      <c r="BU48" s="319"/>
      <c r="BV48" s="319"/>
      <c r="BW48" s="319"/>
      <c r="BX48" s="319"/>
      <c r="BY48" s="319"/>
      <c r="BZ48" s="319"/>
      <c r="CA48" s="319"/>
      <c r="CB48" s="319"/>
      <c r="CC48" s="319"/>
      <c r="CD48" s="319"/>
      <c r="CE48" s="319"/>
      <c r="CF48" s="319"/>
      <c r="CG48" s="319"/>
      <c r="CH48" s="319"/>
      <c r="CI48" s="319"/>
      <c r="CJ48" s="319"/>
      <c r="CK48" s="319"/>
      <c r="CL48" s="319"/>
      <c r="CM48" s="319"/>
      <c r="CN48" s="319"/>
      <c r="CO48" s="319"/>
      <c r="CP48" s="319"/>
      <c r="CQ48" s="319"/>
      <c r="CR48" s="319"/>
    </row>
    <row r="49" spans="1:96" s="321" customFormat="1" ht="12.75" x14ac:dyDescent="0.25">
      <c r="A49" s="242"/>
      <c r="B49" s="242"/>
      <c r="C49" s="241"/>
      <c r="D49" s="241"/>
      <c r="E49" s="242"/>
      <c r="F49" s="242"/>
      <c r="H49" s="242"/>
      <c r="I49" s="242"/>
      <c r="S49" s="242"/>
      <c r="T49" s="242"/>
      <c r="AP49" s="319"/>
      <c r="AQ49" s="319"/>
      <c r="AR49" s="319"/>
      <c r="AS49" s="319"/>
      <c r="AT49" s="319"/>
      <c r="AU49" s="319"/>
      <c r="AV49" s="319"/>
      <c r="AW49" s="319"/>
      <c r="AX49" s="319"/>
      <c r="AY49" s="319"/>
      <c r="AZ49" s="319"/>
      <c r="BA49" s="319"/>
      <c r="BB49" s="319"/>
      <c r="BC49" s="319"/>
      <c r="BD49" s="319"/>
      <c r="BE49" s="319"/>
      <c r="BF49" s="319"/>
      <c r="BG49" s="319"/>
      <c r="BH49" s="319"/>
      <c r="BI49" s="319"/>
      <c r="BJ49" s="319"/>
      <c r="BK49" s="319"/>
      <c r="BL49" s="319"/>
      <c r="BM49" s="319"/>
      <c r="BN49" s="319"/>
      <c r="BO49" s="319"/>
      <c r="BP49" s="319"/>
      <c r="BQ49" s="319"/>
      <c r="BR49" s="319"/>
      <c r="BS49" s="319"/>
      <c r="BT49" s="319"/>
      <c r="BU49" s="319"/>
      <c r="BV49" s="319"/>
      <c r="BW49" s="319"/>
      <c r="BX49" s="319"/>
      <c r="BY49" s="319"/>
      <c r="BZ49" s="319"/>
      <c r="CA49" s="319"/>
      <c r="CB49" s="319"/>
      <c r="CC49" s="319"/>
      <c r="CD49" s="319"/>
      <c r="CE49" s="319"/>
      <c r="CF49" s="319"/>
      <c r="CG49" s="319"/>
      <c r="CH49" s="319"/>
      <c r="CI49" s="319"/>
      <c r="CJ49" s="319"/>
      <c r="CK49" s="319"/>
      <c r="CL49" s="319"/>
      <c r="CM49" s="319"/>
      <c r="CN49" s="319"/>
      <c r="CO49" s="319"/>
      <c r="CP49" s="319"/>
      <c r="CQ49" s="319"/>
      <c r="CR49" s="319"/>
    </row>
    <row r="50" spans="1:96" s="321" customFormat="1" ht="12.75" x14ac:dyDescent="0.25">
      <c r="A50" s="242"/>
      <c r="B50" s="242"/>
      <c r="C50" s="241"/>
      <c r="D50" s="241"/>
      <c r="E50" s="242"/>
      <c r="F50" s="242"/>
      <c r="H50" s="242"/>
      <c r="I50" s="242"/>
      <c r="S50" s="242"/>
      <c r="T50" s="242"/>
      <c r="AP50" s="319"/>
      <c r="AQ50" s="319"/>
      <c r="AR50" s="319"/>
      <c r="AS50" s="319"/>
      <c r="AT50" s="319"/>
      <c r="AU50" s="319"/>
      <c r="AV50" s="319"/>
      <c r="AW50" s="319"/>
      <c r="AX50" s="319"/>
      <c r="AY50" s="319"/>
      <c r="AZ50" s="319"/>
      <c r="BA50" s="319"/>
      <c r="BB50" s="319"/>
      <c r="BC50" s="319"/>
      <c r="BD50" s="319"/>
      <c r="BE50" s="319"/>
      <c r="BF50" s="319"/>
      <c r="BG50" s="319"/>
      <c r="BH50" s="319"/>
      <c r="BI50" s="319"/>
      <c r="BJ50" s="319"/>
      <c r="BK50" s="319"/>
      <c r="BL50" s="319"/>
      <c r="BM50" s="319"/>
      <c r="BN50" s="319"/>
      <c r="BO50" s="319"/>
      <c r="BP50" s="319"/>
      <c r="BQ50" s="319"/>
      <c r="BR50" s="319"/>
      <c r="BS50" s="319"/>
      <c r="BT50" s="319"/>
      <c r="BU50" s="319"/>
      <c r="BV50" s="319"/>
      <c r="BW50" s="319"/>
      <c r="BX50" s="319"/>
      <c r="BY50" s="319"/>
      <c r="BZ50" s="319"/>
      <c r="CA50" s="319"/>
      <c r="CB50" s="319"/>
      <c r="CC50" s="319"/>
      <c r="CD50" s="319"/>
      <c r="CE50" s="319"/>
      <c r="CF50" s="319"/>
      <c r="CG50" s="319"/>
      <c r="CH50" s="319"/>
      <c r="CI50" s="319"/>
      <c r="CJ50" s="319"/>
      <c r="CK50" s="319"/>
      <c r="CL50" s="319"/>
      <c r="CM50" s="319"/>
      <c r="CN50" s="319"/>
      <c r="CO50" s="319"/>
      <c r="CP50" s="319"/>
      <c r="CQ50" s="319"/>
      <c r="CR50" s="319"/>
    </row>
    <row r="51" spans="1:96" s="321" customFormat="1" ht="12.75" x14ac:dyDescent="0.25">
      <c r="A51" s="242"/>
      <c r="B51" s="242"/>
      <c r="C51" s="241"/>
      <c r="D51" s="241"/>
      <c r="E51" s="242"/>
      <c r="F51" s="242"/>
      <c r="H51" s="242"/>
      <c r="I51" s="242"/>
      <c r="S51" s="242"/>
      <c r="T51" s="242"/>
      <c r="AP51" s="319"/>
      <c r="AQ51" s="319"/>
      <c r="AR51" s="319"/>
      <c r="AS51" s="319"/>
      <c r="AT51" s="319"/>
      <c r="AU51" s="319"/>
      <c r="AV51" s="319"/>
      <c r="AW51" s="319"/>
      <c r="AX51" s="319"/>
      <c r="AY51" s="319"/>
      <c r="AZ51" s="319"/>
      <c r="BA51" s="319"/>
      <c r="BB51" s="319"/>
      <c r="BC51" s="319"/>
      <c r="BD51" s="319"/>
      <c r="BE51" s="319"/>
      <c r="BF51" s="319"/>
      <c r="BG51" s="319"/>
      <c r="BH51" s="319"/>
      <c r="BI51" s="319"/>
      <c r="BJ51" s="319"/>
      <c r="BK51" s="319"/>
      <c r="BL51" s="319"/>
      <c r="BM51" s="319"/>
      <c r="BN51" s="319"/>
      <c r="BO51" s="319"/>
      <c r="BP51" s="319"/>
      <c r="BQ51" s="319"/>
      <c r="BR51" s="319"/>
      <c r="BS51" s="319"/>
      <c r="BT51" s="319"/>
      <c r="BU51" s="319"/>
      <c r="BV51" s="319"/>
      <c r="BW51" s="319"/>
      <c r="BX51" s="319"/>
      <c r="BY51" s="319"/>
      <c r="BZ51" s="319"/>
      <c r="CA51" s="319"/>
      <c r="CB51" s="319"/>
      <c r="CC51" s="319"/>
      <c r="CD51" s="319"/>
      <c r="CE51" s="319"/>
      <c r="CF51" s="319"/>
      <c r="CG51" s="319"/>
      <c r="CH51" s="319"/>
      <c r="CI51" s="319"/>
      <c r="CJ51" s="319"/>
      <c r="CK51" s="319"/>
      <c r="CL51" s="319"/>
      <c r="CM51" s="319"/>
      <c r="CN51" s="319"/>
      <c r="CO51" s="319"/>
      <c r="CP51" s="319"/>
      <c r="CQ51" s="319"/>
      <c r="CR51" s="319"/>
    </row>
    <row r="52" spans="1:96" s="321" customFormat="1" ht="12.75" x14ac:dyDescent="0.25">
      <c r="A52" s="242"/>
      <c r="B52" s="242"/>
      <c r="C52" s="241"/>
      <c r="D52" s="241"/>
      <c r="E52" s="242"/>
      <c r="F52" s="242"/>
      <c r="H52" s="242"/>
      <c r="I52" s="242"/>
      <c r="S52" s="242"/>
      <c r="T52" s="242"/>
      <c r="AP52" s="319"/>
      <c r="AQ52" s="319"/>
      <c r="AR52" s="319"/>
      <c r="AS52" s="319"/>
      <c r="AT52" s="319"/>
      <c r="AU52" s="319"/>
      <c r="AV52" s="319"/>
      <c r="AW52" s="319"/>
      <c r="AX52" s="319"/>
      <c r="AY52" s="319"/>
      <c r="AZ52" s="319"/>
      <c r="BA52" s="319"/>
      <c r="BB52" s="319"/>
      <c r="BC52" s="319"/>
      <c r="BD52" s="319"/>
      <c r="BE52" s="319"/>
      <c r="BF52" s="319"/>
      <c r="BG52" s="319"/>
      <c r="BH52" s="319"/>
      <c r="BI52" s="319"/>
      <c r="BJ52" s="319"/>
      <c r="BK52" s="319"/>
      <c r="BL52" s="319"/>
      <c r="BM52" s="319"/>
      <c r="BN52" s="319"/>
      <c r="BO52" s="319"/>
      <c r="BP52" s="319"/>
      <c r="BQ52" s="319"/>
      <c r="BR52" s="319"/>
      <c r="BS52" s="319"/>
      <c r="BT52" s="319"/>
      <c r="BU52" s="319"/>
      <c r="BV52" s="319"/>
      <c r="BW52" s="319"/>
      <c r="BX52" s="319"/>
      <c r="BY52" s="319"/>
      <c r="BZ52" s="319"/>
      <c r="CA52" s="319"/>
      <c r="CB52" s="319"/>
      <c r="CC52" s="319"/>
      <c r="CD52" s="319"/>
      <c r="CE52" s="319"/>
      <c r="CF52" s="319"/>
      <c r="CG52" s="319"/>
      <c r="CH52" s="319"/>
      <c r="CI52" s="319"/>
      <c r="CJ52" s="319"/>
      <c r="CK52" s="319"/>
      <c r="CL52" s="319"/>
      <c r="CM52" s="319"/>
      <c r="CN52" s="319"/>
      <c r="CO52" s="319"/>
      <c r="CP52" s="319"/>
      <c r="CQ52" s="319"/>
      <c r="CR52" s="319"/>
    </row>
    <row r="53" spans="1:96" s="321" customFormat="1" ht="12.75" x14ac:dyDescent="0.25">
      <c r="A53" s="242"/>
      <c r="B53" s="242"/>
      <c r="C53" s="241"/>
      <c r="D53" s="241"/>
      <c r="E53" s="242"/>
      <c r="F53" s="242"/>
      <c r="H53" s="242"/>
      <c r="I53" s="242"/>
      <c r="S53" s="242"/>
      <c r="T53" s="242"/>
      <c r="AP53" s="319"/>
      <c r="AQ53" s="319"/>
      <c r="AR53" s="319"/>
      <c r="AS53" s="319"/>
      <c r="AT53" s="319"/>
      <c r="AU53" s="319"/>
      <c r="AV53" s="319"/>
      <c r="AW53" s="319"/>
      <c r="AX53" s="319"/>
      <c r="AY53" s="319"/>
      <c r="AZ53" s="319"/>
      <c r="BA53" s="319"/>
      <c r="BB53" s="319"/>
      <c r="BC53" s="319"/>
      <c r="BD53" s="319"/>
      <c r="BE53" s="319"/>
      <c r="BF53" s="319"/>
      <c r="BG53" s="319"/>
      <c r="BH53" s="319"/>
      <c r="BI53" s="319"/>
      <c r="BJ53" s="319"/>
      <c r="BK53" s="319"/>
      <c r="BL53" s="319"/>
      <c r="BM53" s="319"/>
      <c r="BN53" s="319"/>
      <c r="BO53" s="319"/>
      <c r="BP53" s="319"/>
      <c r="BQ53" s="319"/>
      <c r="BR53" s="319"/>
      <c r="BS53" s="319"/>
      <c r="BT53" s="319"/>
      <c r="BU53" s="319"/>
      <c r="BV53" s="319"/>
      <c r="BW53" s="319"/>
      <c r="BX53" s="319"/>
      <c r="BY53" s="319"/>
      <c r="BZ53" s="319"/>
      <c r="CA53" s="319"/>
      <c r="CB53" s="319"/>
      <c r="CC53" s="319"/>
      <c r="CD53" s="319"/>
      <c r="CE53" s="319"/>
      <c r="CF53" s="319"/>
      <c r="CG53" s="319"/>
      <c r="CH53" s="319"/>
      <c r="CI53" s="319"/>
      <c r="CJ53" s="319"/>
      <c r="CK53" s="319"/>
      <c r="CL53" s="319"/>
      <c r="CM53" s="319"/>
      <c r="CN53" s="319"/>
      <c r="CO53" s="319"/>
      <c r="CP53" s="319"/>
      <c r="CQ53" s="319"/>
      <c r="CR53" s="319"/>
    </row>
    <row r="54" spans="1:96" s="321" customFormat="1" ht="12.75" x14ac:dyDescent="0.25">
      <c r="A54" s="242"/>
      <c r="B54" s="242"/>
      <c r="C54" s="241"/>
      <c r="D54" s="241"/>
      <c r="E54" s="242"/>
      <c r="F54" s="242"/>
      <c r="H54" s="242"/>
      <c r="I54" s="242"/>
      <c r="S54" s="242"/>
      <c r="T54" s="242"/>
      <c r="AP54" s="319"/>
      <c r="AQ54" s="319"/>
      <c r="AR54" s="319"/>
      <c r="AS54" s="319"/>
      <c r="AT54" s="319"/>
      <c r="AU54" s="319"/>
      <c r="AV54" s="319"/>
      <c r="AW54" s="319"/>
      <c r="AX54" s="319"/>
      <c r="AY54" s="319"/>
      <c r="AZ54" s="319"/>
      <c r="BA54" s="319"/>
      <c r="BB54" s="319"/>
      <c r="BC54" s="319"/>
      <c r="BD54" s="319"/>
      <c r="BE54" s="319"/>
      <c r="BF54" s="319"/>
      <c r="BG54" s="319"/>
      <c r="BH54" s="319"/>
      <c r="BI54" s="319"/>
      <c r="BJ54" s="319"/>
      <c r="BK54" s="319"/>
      <c r="BL54" s="319"/>
      <c r="BM54" s="319"/>
      <c r="BN54" s="319"/>
      <c r="BO54" s="319"/>
      <c r="BP54" s="319"/>
      <c r="BQ54" s="319"/>
      <c r="BR54" s="319"/>
      <c r="BS54" s="319"/>
      <c r="BT54" s="319"/>
      <c r="BU54" s="319"/>
      <c r="BV54" s="319"/>
      <c r="BW54" s="319"/>
      <c r="BX54" s="319"/>
      <c r="BY54" s="319"/>
      <c r="BZ54" s="319"/>
      <c r="CA54" s="319"/>
      <c r="CB54" s="319"/>
      <c r="CC54" s="319"/>
      <c r="CD54" s="319"/>
      <c r="CE54" s="319"/>
      <c r="CF54" s="319"/>
      <c r="CG54" s="319"/>
      <c r="CH54" s="319"/>
      <c r="CI54" s="319"/>
      <c r="CJ54" s="319"/>
      <c r="CK54" s="319"/>
      <c r="CL54" s="319"/>
      <c r="CM54" s="319"/>
      <c r="CN54" s="319"/>
      <c r="CO54" s="319"/>
      <c r="CP54" s="319"/>
      <c r="CQ54" s="319"/>
      <c r="CR54" s="319"/>
    </row>
    <row r="55" spans="1:96" s="321" customFormat="1" ht="12.75" x14ac:dyDescent="0.25">
      <c r="A55" s="242"/>
      <c r="B55" s="242"/>
      <c r="C55" s="241"/>
      <c r="D55" s="241"/>
      <c r="E55" s="242"/>
      <c r="F55" s="242"/>
      <c r="H55" s="242"/>
      <c r="I55" s="242"/>
      <c r="S55" s="242"/>
      <c r="T55" s="242"/>
      <c r="AP55" s="319"/>
      <c r="AQ55" s="319"/>
      <c r="AR55" s="319"/>
      <c r="AS55" s="319"/>
      <c r="AT55" s="319"/>
      <c r="AU55" s="319"/>
      <c r="AV55" s="319"/>
      <c r="AW55" s="319"/>
      <c r="AX55" s="319"/>
      <c r="AY55" s="319"/>
      <c r="AZ55" s="319"/>
      <c r="BA55" s="319"/>
      <c r="BB55" s="319"/>
      <c r="BC55" s="319"/>
      <c r="BD55" s="319"/>
      <c r="BE55" s="319"/>
      <c r="BF55" s="319"/>
      <c r="BG55" s="319"/>
      <c r="BH55" s="319"/>
      <c r="BI55" s="319"/>
      <c r="BJ55" s="319"/>
      <c r="BK55" s="319"/>
      <c r="BL55" s="319"/>
      <c r="BM55" s="319"/>
      <c r="BN55" s="319"/>
      <c r="BO55" s="319"/>
      <c r="BP55" s="319"/>
      <c r="BQ55" s="319"/>
      <c r="BR55" s="319"/>
      <c r="BS55" s="319"/>
      <c r="BT55" s="319"/>
      <c r="BU55" s="319"/>
      <c r="BV55" s="319"/>
      <c r="BW55" s="319"/>
      <c r="BX55" s="319"/>
      <c r="BY55" s="319"/>
      <c r="BZ55" s="319"/>
      <c r="CA55" s="319"/>
      <c r="CB55" s="319"/>
      <c r="CC55" s="319"/>
      <c r="CD55" s="319"/>
      <c r="CE55" s="319"/>
      <c r="CF55" s="319"/>
      <c r="CG55" s="319"/>
      <c r="CH55" s="319"/>
      <c r="CI55" s="319"/>
      <c r="CJ55" s="319"/>
      <c r="CK55" s="319"/>
      <c r="CL55" s="319"/>
      <c r="CM55" s="319"/>
      <c r="CN55" s="319"/>
      <c r="CO55" s="319"/>
      <c r="CP55" s="319"/>
      <c r="CQ55" s="319"/>
      <c r="CR55" s="319"/>
    </row>
    <row r="56" spans="1:96" s="321" customFormat="1" ht="12.75" x14ac:dyDescent="0.25">
      <c r="A56" s="242"/>
      <c r="B56" s="242"/>
      <c r="C56" s="241"/>
      <c r="D56" s="241"/>
      <c r="E56" s="242"/>
      <c r="F56" s="242"/>
      <c r="H56" s="242"/>
      <c r="I56" s="242"/>
      <c r="S56" s="242"/>
      <c r="T56" s="242"/>
      <c r="AP56" s="319"/>
      <c r="AQ56" s="319"/>
      <c r="AR56" s="319"/>
      <c r="AS56" s="319"/>
      <c r="AT56" s="319"/>
      <c r="AU56" s="319"/>
      <c r="AV56" s="319"/>
      <c r="AW56" s="319"/>
      <c r="AX56" s="319"/>
      <c r="AY56" s="319"/>
      <c r="AZ56" s="319"/>
      <c r="BA56" s="319"/>
      <c r="BB56" s="319"/>
      <c r="BC56" s="319"/>
      <c r="BD56" s="319"/>
      <c r="BE56" s="319"/>
      <c r="BF56" s="319"/>
      <c r="BG56" s="319"/>
      <c r="BH56" s="319"/>
      <c r="BI56" s="319"/>
      <c r="BJ56" s="319"/>
      <c r="BK56" s="319"/>
      <c r="BL56" s="319"/>
      <c r="BM56" s="319"/>
      <c r="BN56" s="319"/>
      <c r="BO56" s="319"/>
      <c r="BP56" s="319"/>
      <c r="BQ56" s="319"/>
      <c r="BR56" s="319"/>
      <c r="BS56" s="319"/>
      <c r="BT56" s="319"/>
      <c r="BU56" s="319"/>
      <c r="BV56" s="319"/>
      <c r="BW56" s="319"/>
      <c r="BX56" s="319"/>
      <c r="BY56" s="319"/>
      <c r="BZ56" s="319"/>
      <c r="CA56" s="319"/>
      <c r="CB56" s="319"/>
      <c r="CC56" s="319"/>
      <c r="CD56" s="319"/>
      <c r="CE56" s="319"/>
      <c r="CF56" s="319"/>
      <c r="CG56" s="319"/>
      <c r="CH56" s="319"/>
      <c r="CI56" s="319"/>
      <c r="CJ56" s="319"/>
      <c r="CK56" s="319"/>
      <c r="CL56" s="319"/>
      <c r="CM56" s="319"/>
      <c r="CN56" s="319"/>
      <c r="CO56" s="319"/>
      <c r="CP56" s="319"/>
      <c r="CQ56" s="319"/>
      <c r="CR56" s="319"/>
    </row>
    <row r="57" spans="1:96" s="321" customFormat="1" ht="12.75" x14ac:dyDescent="0.25">
      <c r="A57" s="242"/>
      <c r="B57" s="242"/>
      <c r="C57" s="241"/>
      <c r="D57" s="241"/>
      <c r="E57" s="242"/>
      <c r="F57" s="242"/>
      <c r="H57" s="242"/>
      <c r="I57" s="242"/>
      <c r="S57" s="242"/>
      <c r="T57" s="242"/>
      <c r="AP57" s="319"/>
      <c r="AQ57" s="319"/>
      <c r="AR57" s="319"/>
      <c r="AS57" s="319"/>
      <c r="AT57" s="319"/>
      <c r="AU57" s="319"/>
      <c r="AV57" s="319"/>
      <c r="AW57" s="319"/>
      <c r="AX57" s="319"/>
      <c r="AY57" s="319"/>
      <c r="AZ57" s="319"/>
      <c r="BA57" s="319"/>
      <c r="BB57" s="319"/>
      <c r="BC57" s="319"/>
      <c r="BD57" s="319"/>
      <c r="BE57" s="319"/>
      <c r="BF57" s="319"/>
      <c r="BG57" s="319"/>
      <c r="BH57" s="319"/>
      <c r="BI57" s="319"/>
      <c r="BJ57" s="319"/>
      <c r="BK57" s="319"/>
      <c r="BL57" s="319"/>
      <c r="BM57" s="319"/>
      <c r="BN57" s="319"/>
      <c r="BO57" s="319"/>
      <c r="BP57" s="319"/>
      <c r="BQ57" s="319"/>
      <c r="BR57" s="319"/>
      <c r="BS57" s="319"/>
      <c r="BT57" s="319"/>
      <c r="BU57" s="319"/>
      <c r="BV57" s="319"/>
      <c r="BW57" s="319"/>
      <c r="BX57" s="319"/>
      <c r="BY57" s="319"/>
      <c r="BZ57" s="319"/>
      <c r="CA57" s="319"/>
      <c r="CB57" s="319"/>
      <c r="CC57" s="319"/>
      <c r="CD57" s="319"/>
      <c r="CE57" s="319"/>
      <c r="CF57" s="319"/>
      <c r="CG57" s="319"/>
      <c r="CH57" s="319"/>
      <c r="CI57" s="319"/>
      <c r="CJ57" s="319"/>
      <c r="CK57" s="319"/>
      <c r="CL57" s="319"/>
      <c r="CM57" s="319"/>
      <c r="CN57" s="319"/>
      <c r="CO57" s="319"/>
      <c r="CP57" s="319"/>
      <c r="CQ57" s="319"/>
      <c r="CR57" s="319"/>
    </row>
    <row r="58" spans="1:96" s="321" customFormat="1" ht="12.75" x14ac:dyDescent="0.25">
      <c r="A58" s="242"/>
      <c r="B58" s="242"/>
      <c r="C58" s="241"/>
      <c r="D58" s="241"/>
      <c r="E58" s="242"/>
      <c r="F58" s="242"/>
      <c r="H58" s="242"/>
      <c r="I58" s="242"/>
      <c r="S58" s="242"/>
      <c r="T58" s="242"/>
      <c r="AP58" s="319"/>
      <c r="AQ58" s="319"/>
      <c r="AR58" s="319"/>
      <c r="AS58" s="319"/>
      <c r="AT58" s="319"/>
      <c r="AU58" s="319"/>
      <c r="AV58" s="319"/>
      <c r="AW58" s="319"/>
      <c r="AX58" s="319"/>
      <c r="AY58" s="319"/>
      <c r="AZ58" s="319"/>
      <c r="BA58" s="319"/>
      <c r="BB58" s="319"/>
      <c r="BC58" s="319"/>
      <c r="BD58" s="319"/>
      <c r="BE58" s="319"/>
      <c r="BF58" s="319"/>
      <c r="BG58" s="319"/>
      <c r="BH58" s="319"/>
      <c r="BI58" s="319"/>
      <c r="BJ58" s="319"/>
      <c r="BK58" s="319"/>
      <c r="BL58" s="319"/>
      <c r="BM58" s="319"/>
      <c r="BN58" s="319"/>
      <c r="BO58" s="319"/>
      <c r="BP58" s="319"/>
      <c r="BQ58" s="319"/>
      <c r="BR58" s="319"/>
      <c r="BS58" s="319"/>
      <c r="BT58" s="319"/>
      <c r="BU58" s="319"/>
      <c r="BV58" s="319"/>
      <c r="BW58" s="319"/>
      <c r="BX58" s="319"/>
      <c r="BY58" s="319"/>
      <c r="BZ58" s="319"/>
      <c r="CA58" s="319"/>
      <c r="CB58" s="319"/>
      <c r="CC58" s="319"/>
      <c r="CD58" s="319"/>
      <c r="CE58" s="319"/>
      <c r="CF58" s="319"/>
      <c r="CG58" s="319"/>
      <c r="CH58" s="319"/>
      <c r="CI58" s="319"/>
      <c r="CJ58" s="319"/>
      <c r="CK58" s="319"/>
      <c r="CL58" s="319"/>
      <c r="CM58" s="319"/>
      <c r="CN58" s="319"/>
      <c r="CO58" s="319"/>
      <c r="CP58" s="319"/>
      <c r="CQ58" s="319"/>
      <c r="CR58" s="319"/>
    </row>
    <row r="59" spans="1:96" s="321" customFormat="1" ht="12.75" x14ac:dyDescent="0.25">
      <c r="A59" s="242"/>
      <c r="B59" s="242"/>
      <c r="C59" s="241"/>
      <c r="D59" s="241"/>
      <c r="E59" s="242"/>
      <c r="F59" s="242"/>
      <c r="H59" s="242"/>
      <c r="I59" s="242"/>
      <c r="S59" s="242"/>
      <c r="T59" s="242"/>
      <c r="AP59" s="319"/>
      <c r="AQ59" s="319"/>
      <c r="AR59" s="319"/>
      <c r="AS59" s="319"/>
      <c r="AT59" s="319"/>
      <c r="AU59" s="319"/>
      <c r="AV59" s="319"/>
      <c r="AW59" s="319"/>
      <c r="AX59" s="319"/>
      <c r="AY59" s="319"/>
      <c r="AZ59" s="319"/>
      <c r="BA59" s="319"/>
      <c r="BB59" s="319"/>
      <c r="BC59" s="319"/>
      <c r="BD59" s="319"/>
      <c r="BE59" s="319"/>
      <c r="BF59" s="319"/>
      <c r="BG59" s="319"/>
      <c r="BH59" s="319"/>
      <c r="BI59" s="319"/>
      <c r="BJ59" s="319"/>
      <c r="BK59" s="319"/>
      <c r="BL59" s="319"/>
      <c r="BM59" s="319"/>
      <c r="BN59" s="319"/>
      <c r="BO59" s="319"/>
      <c r="BP59" s="319"/>
      <c r="BQ59" s="319"/>
      <c r="BR59" s="319"/>
      <c r="BS59" s="319"/>
      <c r="BT59" s="319"/>
      <c r="BU59" s="319"/>
      <c r="BV59" s="319"/>
      <c r="BW59" s="319"/>
      <c r="BX59" s="319"/>
      <c r="BY59" s="319"/>
      <c r="BZ59" s="319"/>
      <c r="CA59" s="319"/>
      <c r="CB59" s="319"/>
      <c r="CC59" s="319"/>
      <c r="CD59" s="319"/>
      <c r="CE59" s="319"/>
      <c r="CF59" s="319"/>
      <c r="CG59" s="319"/>
      <c r="CH59" s="319"/>
      <c r="CI59" s="319"/>
      <c r="CJ59" s="319"/>
      <c r="CK59" s="319"/>
      <c r="CL59" s="319"/>
      <c r="CM59" s="319"/>
      <c r="CN59" s="319"/>
      <c r="CO59" s="319"/>
      <c r="CP59" s="319"/>
      <c r="CQ59" s="319"/>
      <c r="CR59" s="319"/>
    </row>
  </sheetData>
  <autoFilter ref="A3:AL32" xr:uid="{00000000-0001-0000-0600-000000000000}">
    <filterColumn colId="4" showButton="0"/>
    <filterColumn colId="21" showButton="0"/>
    <filterColumn colId="22" showButton="0"/>
    <filterColumn colId="23" showButton="0"/>
    <filterColumn colId="24" showButton="0"/>
    <filterColumn colId="25" showButton="0"/>
  </autoFilter>
  <mergeCells count="177">
    <mergeCell ref="H17:H19"/>
    <mergeCell ref="I17:I19"/>
    <mergeCell ref="A15:A16"/>
    <mergeCell ref="B15:B16"/>
    <mergeCell ref="C15:C16"/>
    <mergeCell ref="D15:D16"/>
    <mergeCell ref="E15:E16"/>
    <mergeCell ref="F15:F16"/>
    <mergeCell ref="G15:G16"/>
    <mergeCell ref="H15:H16"/>
    <mergeCell ref="I15:I16"/>
    <mergeCell ref="L20:L22"/>
    <mergeCell ref="M20:M22"/>
    <mergeCell ref="N20:N22"/>
    <mergeCell ref="O20:O22"/>
    <mergeCell ref="P20:P22"/>
    <mergeCell ref="J17:J19"/>
    <mergeCell ref="K17:K19"/>
    <mergeCell ref="L17:L19"/>
    <mergeCell ref="M17:M19"/>
    <mergeCell ref="N17:N19"/>
    <mergeCell ref="O17:O19"/>
    <mergeCell ref="J20:J22"/>
    <mergeCell ref="C20:C22"/>
    <mergeCell ref="D20:D22"/>
    <mergeCell ref="E20:E22"/>
    <mergeCell ref="F20:F22"/>
    <mergeCell ref="G20:G22"/>
    <mergeCell ref="H20:H22"/>
    <mergeCell ref="I20:I22"/>
    <mergeCell ref="K20:K22"/>
    <mergeCell ref="M28:M29"/>
    <mergeCell ref="N28:N29"/>
    <mergeCell ref="O28:O29"/>
    <mergeCell ref="P28:P29"/>
    <mergeCell ref="J28:J29"/>
    <mergeCell ref="K28:K29"/>
    <mergeCell ref="L28:L29"/>
    <mergeCell ref="P24:P25"/>
    <mergeCell ref="G24:G25"/>
    <mergeCell ref="G28:G29"/>
    <mergeCell ref="H28:H29"/>
    <mergeCell ref="I28:I29"/>
    <mergeCell ref="M24:M25"/>
    <mergeCell ref="N24:N25"/>
    <mergeCell ref="O24:O25"/>
    <mergeCell ref="H24:H25"/>
    <mergeCell ref="I24:I25"/>
    <mergeCell ref="J24:J25"/>
    <mergeCell ref="K24:K25"/>
    <mergeCell ref="L24:L25"/>
    <mergeCell ref="A28:A29"/>
    <mergeCell ref="B28:B29"/>
    <mergeCell ref="C28:C29"/>
    <mergeCell ref="D28:D29"/>
    <mergeCell ref="E28:E29"/>
    <mergeCell ref="F28:F29"/>
    <mergeCell ref="A24:A25"/>
    <mergeCell ref="B24:B25"/>
    <mergeCell ref="C24:C25"/>
    <mergeCell ref="D24:D25"/>
    <mergeCell ref="E24:E25"/>
    <mergeCell ref="F24:F25"/>
    <mergeCell ref="A20:A22"/>
    <mergeCell ref="B20:B22"/>
    <mergeCell ref="A17:A19"/>
    <mergeCell ref="B17:B19"/>
    <mergeCell ref="C17:C19"/>
    <mergeCell ref="D17:D19"/>
    <mergeCell ref="E17:E19"/>
    <mergeCell ref="F17:F19"/>
    <mergeCell ref="G17:G19"/>
    <mergeCell ref="P17:P19"/>
    <mergeCell ref="J15:J16"/>
    <mergeCell ref="K15:K16"/>
    <mergeCell ref="L15:L16"/>
    <mergeCell ref="M15:M16"/>
    <mergeCell ref="N15:N16"/>
    <mergeCell ref="A12:A13"/>
    <mergeCell ref="B12:B13"/>
    <mergeCell ref="C12:C13"/>
    <mergeCell ref="D12:D13"/>
    <mergeCell ref="E12:E13"/>
    <mergeCell ref="F12:F13"/>
    <mergeCell ref="M12:M13"/>
    <mergeCell ref="N12:N13"/>
    <mergeCell ref="O12:O13"/>
    <mergeCell ref="P12:P13"/>
    <mergeCell ref="G12:G13"/>
    <mergeCell ref="H12:H13"/>
    <mergeCell ref="I12:I13"/>
    <mergeCell ref="J12:J13"/>
    <mergeCell ref="K12:K13"/>
    <mergeCell ref="L12:L13"/>
    <mergeCell ref="O15:O16"/>
    <mergeCell ref="P15:P16"/>
    <mergeCell ref="G10:G11"/>
    <mergeCell ref="H10:H11"/>
    <mergeCell ref="I10:I11"/>
    <mergeCell ref="A10:A11"/>
    <mergeCell ref="B10:B11"/>
    <mergeCell ref="C10:C11"/>
    <mergeCell ref="D10:D11"/>
    <mergeCell ref="E10:E11"/>
    <mergeCell ref="F10:F11"/>
    <mergeCell ref="M10:M11"/>
    <mergeCell ref="N10:N11"/>
    <mergeCell ref="O10:O11"/>
    <mergeCell ref="P10:P11"/>
    <mergeCell ref="J10:J11"/>
    <mergeCell ref="K10:K11"/>
    <mergeCell ref="L10:L11"/>
    <mergeCell ref="M7:M8"/>
    <mergeCell ref="N7:N8"/>
    <mergeCell ref="O7:O8"/>
    <mergeCell ref="P7:P8"/>
    <mergeCell ref="G7:G8"/>
    <mergeCell ref="H7:H8"/>
    <mergeCell ref="I7:I8"/>
    <mergeCell ref="J7:J8"/>
    <mergeCell ref="K7:K8"/>
    <mergeCell ref="L7:L8"/>
    <mergeCell ref="A7:A8"/>
    <mergeCell ref="B7:B8"/>
    <mergeCell ref="C7:C8"/>
    <mergeCell ref="D7:D8"/>
    <mergeCell ref="E7:E8"/>
    <mergeCell ref="F7:F8"/>
    <mergeCell ref="AF3:AF6"/>
    <mergeCell ref="AG3:AG6"/>
    <mergeCell ref="AH3:AH6"/>
    <mergeCell ref="AI3:AI6"/>
    <mergeCell ref="AJ3:AJ6"/>
    <mergeCell ref="AK3:AK6"/>
    <mergeCell ref="AC3:AC6"/>
    <mergeCell ref="AD3:AD6"/>
    <mergeCell ref="AE3:AE6"/>
    <mergeCell ref="A1:AO1"/>
    <mergeCell ref="A2:J2"/>
    <mergeCell ref="K2:P2"/>
    <mergeCell ref="Q2:AA2"/>
    <mergeCell ref="AB2:AH2"/>
    <mergeCell ref="AI2:AL2"/>
    <mergeCell ref="AM2:AO2"/>
    <mergeCell ref="H3:H6"/>
    <mergeCell ref="I3:I6"/>
    <mergeCell ref="J3:J6"/>
    <mergeCell ref="K3:K6"/>
    <mergeCell ref="L3:L6"/>
    <mergeCell ref="M3:M6"/>
    <mergeCell ref="A3:A6"/>
    <mergeCell ref="B3:B6"/>
    <mergeCell ref="C3:C6"/>
    <mergeCell ref="D3:D6"/>
    <mergeCell ref="E3:F4"/>
    <mergeCell ref="AL3:AL6"/>
    <mergeCell ref="AM3:AM6"/>
    <mergeCell ref="AN3:AN6"/>
    <mergeCell ref="AO3:AO6"/>
    <mergeCell ref="V4:V6"/>
    <mergeCell ref="W4:W6"/>
    <mergeCell ref="G3:G6"/>
    <mergeCell ref="E5:E6"/>
    <mergeCell ref="F5:F6"/>
    <mergeCell ref="U3:U6"/>
    <mergeCell ref="V3:AA3"/>
    <mergeCell ref="AB3:AB6"/>
    <mergeCell ref="N3:N6"/>
    <mergeCell ref="P3:P6"/>
    <mergeCell ref="Q3:Q6"/>
    <mergeCell ref="R3:R6"/>
    <mergeCell ref="S3:S6"/>
    <mergeCell ref="T3:T6"/>
    <mergeCell ref="X4:X6"/>
    <mergeCell ref="Y4:Y6"/>
    <mergeCell ref="Z4:Z6"/>
    <mergeCell ref="AA4:AA6"/>
  </mergeCells>
  <conditionalFormatting sqref="C7 C24 C26:C28 C30:C32">
    <cfRule type="cellIs" dxfId="133" priority="486" operator="equal">
      <formula>#REF!</formula>
    </cfRule>
    <cfRule type="cellIs" dxfId="132" priority="489" operator="equal">
      <formula>#REF!</formula>
    </cfRule>
  </conditionalFormatting>
  <conditionalFormatting sqref="C7 C26:C28 C30:C32 C24">
    <cfRule type="cellIs" dxfId="131" priority="477" operator="equal">
      <formula>#REF!</formula>
    </cfRule>
  </conditionalFormatting>
  <conditionalFormatting sqref="C7 C26:C28 C30:C32">
    <cfRule type="cellIs" dxfId="130" priority="476" operator="equal">
      <formula>#REF!</formula>
    </cfRule>
  </conditionalFormatting>
  <conditionalFormatting sqref="C9:C10">
    <cfRule type="cellIs" dxfId="129" priority="117" operator="equal">
      <formula>#REF!</formula>
    </cfRule>
    <cfRule type="cellIs" dxfId="128" priority="118" operator="equal">
      <formula>#REF!</formula>
    </cfRule>
    <cfRule type="cellIs" dxfId="127" priority="127" operator="equal">
      <formula>#REF!</formula>
    </cfRule>
    <cfRule type="cellIs" dxfId="126" priority="130" operator="equal">
      <formula>#REF!</formula>
    </cfRule>
  </conditionalFormatting>
  <conditionalFormatting sqref="C12">
    <cfRule type="cellIs" dxfId="125" priority="430" operator="equal">
      <formula>#REF!</formula>
    </cfRule>
    <cfRule type="cellIs" dxfId="124" priority="431" operator="equal">
      <formula>#REF!</formula>
    </cfRule>
    <cfRule type="cellIs" dxfId="123" priority="440" operator="equal">
      <formula>#REF!</formula>
    </cfRule>
    <cfRule type="cellIs" dxfId="122" priority="443" operator="equal">
      <formula>#REF!</formula>
    </cfRule>
  </conditionalFormatting>
  <conditionalFormatting sqref="C14:C15">
    <cfRule type="cellIs" dxfId="121" priority="41" operator="equal">
      <formula>#REF!</formula>
    </cfRule>
    <cfRule type="cellIs" dxfId="120" priority="42" operator="equal">
      <formula>#REF!</formula>
    </cfRule>
    <cfRule type="cellIs" dxfId="119" priority="43" operator="equal">
      <formula>#REF!</formula>
    </cfRule>
    <cfRule type="cellIs" dxfId="118" priority="44" operator="equal">
      <formula>#REF!</formula>
    </cfRule>
  </conditionalFormatting>
  <conditionalFormatting sqref="C17">
    <cfRule type="cellIs" dxfId="117" priority="77" operator="equal">
      <formula>#REF!</formula>
    </cfRule>
    <cfRule type="cellIs" dxfId="116" priority="78" operator="equal">
      <formula>#REF!</formula>
    </cfRule>
    <cfRule type="cellIs" dxfId="115" priority="79" operator="equal">
      <formula>#REF!</formula>
    </cfRule>
    <cfRule type="cellIs" dxfId="114" priority="80" operator="equal">
      <formula>#REF!</formula>
    </cfRule>
  </conditionalFormatting>
  <conditionalFormatting sqref="C20">
    <cfRule type="cellIs" dxfId="113" priority="95" operator="equal">
      <formula>#REF!</formula>
    </cfRule>
    <cfRule type="cellIs" dxfId="112" priority="96" operator="equal">
      <formula>#REF!</formula>
    </cfRule>
    <cfRule type="cellIs" dxfId="111" priority="97" operator="equal">
      <formula>#REF!</formula>
    </cfRule>
    <cfRule type="cellIs" dxfId="110" priority="98" operator="equal">
      <formula>#REF!</formula>
    </cfRule>
  </conditionalFormatting>
  <conditionalFormatting sqref="C23">
    <cfRule type="cellIs" dxfId="109" priority="20" operator="equal">
      <formula>#REF!</formula>
    </cfRule>
    <cfRule type="cellIs" dxfId="108" priority="21" operator="equal">
      <formula>#REF!</formula>
    </cfRule>
    <cfRule type="cellIs" dxfId="107" priority="22" operator="equal">
      <formula>#REF!</formula>
    </cfRule>
  </conditionalFormatting>
  <conditionalFormatting sqref="C23:C24">
    <cfRule type="cellIs" dxfId="106" priority="19" operator="equal">
      <formula>#REF!</formula>
    </cfRule>
  </conditionalFormatting>
  <conditionalFormatting sqref="K7 AC7:AC32 K26:K28 K30:K32">
    <cfRule type="cellIs" dxfId="105" priority="517" operator="equal">
      <formula>"Muy Alta"</formula>
    </cfRule>
    <cfRule type="cellIs" dxfId="104" priority="518" operator="equal">
      <formula>"Alta"</formula>
    </cfRule>
    <cfRule type="cellIs" dxfId="103" priority="519" operator="equal">
      <formula>"Media"</formula>
    </cfRule>
    <cfRule type="cellIs" dxfId="102" priority="520" operator="equal">
      <formula>"Baja"</formula>
    </cfRule>
    <cfRule type="cellIs" dxfId="101" priority="521" operator="equal">
      <formula>"Muy Baja"</formula>
    </cfRule>
  </conditionalFormatting>
  <conditionalFormatting sqref="K9:K10">
    <cfRule type="cellIs" dxfId="100" priority="158" operator="equal">
      <formula>"Muy Alta"</formula>
    </cfRule>
    <cfRule type="cellIs" dxfId="99" priority="159" operator="equal">
      <formula>"Alta"</formula>
    </cfRule>
    <cfRule type="cellIs" dxfId="98" priority="160" operator="equal">
      <formula>"Media"</formula>
    </cfRule>
    <cfRule type="cellIs" dxfId="97" priority="161" operator="equal">
      <formula>"Baja"</formula>
    </cfRule>
    <cfRule type="cellIs" dxfId="96" priority="162" operator="equal">
      <formula>"Muy Baja"</formula>
    </cfRule>
  </conditionalFormatting>
  <conditionalFormatting sqref="K12">
    <cfRule type="cellIs" dxfId="95" priority="457" operator="equal">
      <formula>"Muy Alta"</formula>
    </cfRule>
    <cfRule type="cellIs" dxfId="94" priority="458" operator="equal">
      <formula>"Alta"</formula>
    </cfRule>
    <cfRule type="cellIs" dxfId="93" priority="459" operator="equal">
      <formula>"Media"</formula>
    </cfRule>
    <cfRule type="cellIs" dxfId="92" priority="460" operator="equal">
      <formula>"Baja"</formula>
    </cfRule>
    <cfRule type="cellIs" dxfId="91" priority="461" operator="equal">
      <formula>"Muy Baja"</formula>
    </cfRule>
  </conditionalFormatting>
  <conditionalFormatting sqref="K14:K15">
    <cfRule type="cellIs" dxfId="90" priority="54" operator="equal">
      <formula>"Muy Alta"</formula>
    </cfRule>
    <cfRule type="cellIs" dxfId="89" priority="55" operator="equal">
      <formula>"Alta"</formula>
    </cfRule>
    <cfRule type="cellIs" dxfId="88" priority="56" operator="equal">
      <formula>"Media"</formula>
    </cfRule>
    <cfRule type="cellIs" dxfId="87" priority="57" operator="equal">
      <formula>"Baja"</formula>
    </cfRule>
    <cfRule type="cellIs" dxfId="86" priority="58" operator="equal">
      <formula>"Muy Baja"</formula>
    </cfRule>
  </conditionalFormatting>
  <conditionalFormatting sqref="K17">
    <cfRule type="cellIs" dxfId="85" priority="90" operator="equal">
      <formula>"Muy Alta"</formula>
    </cfRule>
    <cfRule type="cellIs" dxfId="84" priority="91" operator="equal">
      <formula>"Alta"</formula>
    </cfRule>
    <cfRule type="cellIs" dxfId="83" priority="92" operator="equal">
      <formula>"Media"</formula>
    </cfRule>
    <cfRule type="cellIs" dxfId="82" priority="93" operator="equal">
      <formula>"Baja"</formula>
    </cfRule>
    <cfRule type="cellIs" dxfId="81" priority="94" operator="equal">
      <formula>"Muy Baja"</formula>
    </cfRule>
  </conditionalFormatting>
  <conditionalFormatting sqref="K20">
    <cfRule type="cellIs" dxfId="80" priority="108" operator="equal">
      <formula>"Muy Alta"</formula>
    </cfRule>
    <cfRule type="cellIs" dxfId="79" priority="109" operator="equal">
      <formula>"Alta"</formula>
    </cfRule>
    <cfRule type="cellIs" dxfId="78" priority="110" operator="equal">
      <formula>"Media"</formula>
    </cfRule>
    <cfRule type="cellIs" dxfId="77" priority="111" operator="equal">
      <formula>"Baja"</formula>
    </cfRule>
    <cfRule type="cellIs" dxfId="76" priority="112" operator="equal">
      <formula>"Muy Baja"</formula>
    </cfRule>
  </conditionalFormatting>
  <conditionalFormatting sqref="K23:K24">
    <cfRule type="cellIs" dxfId="75" priority="32" operator="equal">
      <formula>"Muy Alta"</formula>
    </cfRule>
    <cfRule type="cellIs" dxfId="74" priority="33" operator="equal">
      <formula>"Alta"</formula>
    </cfRule>
    <cfRule type="cellIs" dxfId="73" priority="34" operator="equal">
      <formula>"Media"</formula>
    </cfRule>
    <cfRule type="cellIs" dxfId="72" priority="35" operator="equal">
      <formula>"Baja"</formula>
    </cfRule>
    <cfRule type="cellIs" dxfId="71" priority="36" operator="equal">
      <formula>"Muy Baja"</formula>
    </cfRule>
  </conditionalFormatting>
  <conditionalFormatting sqref="M7 AE7:AE32 M26:M28 M30:M32">
    <cfRule type="cellIs" dxfId="70" priority="512" operator="equal">
      <formula>"Catastrófico"</formula>
    </cfRule>
    <cfRule type="cellIs" dxfId="69" priority="513" operator="equal">
      <formula>"Mayor"</formula>
    </cfRule>
    <cfRule type="cellIs" dxfId="68" priority="514" operator="equal">
      <formula>"Moderado"</formula>
    </cfRule>
    <cfRule type="cellIs" dxfId="67" priority="515" operator="equal">
      <formula>"Menor"</formula>
    </cfRule>
    <cfRule type="cellIs" dxfId="66" priority="516" operator="equal">
      <formula>"Leve"</formula>
    </cfRule>
  </conditionalFormatting>
  <conditionalFormatting sqref="M9:M10">
    <cfRule type="cellIs" dxfId="65" priority="153" operator="equal">
      <formula>"Catastrófico"</formula>
    </cfRule>
    <cfRule type="cellIs" dxfId="64" priority="154" operator="equal">
      <formula>"Mayor"</formula>
    </cfRule>
    <cfRule type="cellIs" dxfId="63" priority="155" operator="equal">
      <formula>"Moderado"</formula>
    </cfRule>
    <cfRule type="cellIs" dxfId="62" priority="156" operator="equal">
      <formula>"Menor"</formula>
    </cfRule>
    <cfRule type="cellIs" dxfId="61" priority="157" operator="equal">
      <formula>"Leve"</formula>
    </cfRule>
  </conditionalFormatting>
  <conditionalFormatting sqref="M12">
    <cfRule type="cellIs" dxfId="60" priority="452" operator="equal">
      <formula>"Catastrófico"</formula>
    </cfRule>
    <cfRule type="cellIs" dxfId="59" priority="453" operator="equal">
      <formula>"Mayor"</formula>
    </cfRule>
    <cfRule type="cellIs" dxfId="58" priority="454" operator="equal">
      <formula>"Moderado"</formula>
    </cfRule>
    <cfRule type="cellIs" dxfId="57" priority="455" operator="equal">
      <formula>"Menor"</formula>
    </cfRule>
    <cfRule type="cellIs" dxfId="56" priority="456" operator="equal">
      <formula>"Leve"</formula>
    </cfRule>
  </conditionalFormatting>
  <conditionalFormatting sqref="M14:M15">
    <cfRule type="cellIs" dxfId="55" priority="49" operator="equal">
      <formula>"Catastrófico"</formula>
    </cfRule>
    <cfRule type="cellIs" dxfId="54" priority="50" operator="equal">
      <formula>"Mayor"</formula>
    </cfRule>
    <cfRule type="cellIs" dxfId="53" priority="51" operator="equal">
      <formula>"Moderado"</formula>
    </cfRule>
    <cfRule type="cellIs" dxfId="52" priority="52" operator="equal">
      <formula>"Menor"</formula>
    </cfRule>
    <cfRule type="cellIs" dxfId="51" priority="53" operator="equal">
      <formula>"Leve"</formula>
    </cfRule>
  </conditionalFormatting>
  <conditionalFormatting sqref="M17">
    <cfRule type="cellIs" dxfId="50" priority="85" operator="equal">
      <formula>"Catastrófico"</formula>
    </cfRule>
    <cfRule type="cellIs" dxfId="49" priority="86" operator="equal">
      <formula>"Mayor"</formula>
    </cfRule>
    <cfRule type="cellIs" dxfId="48" priority="87" operator="equal">
      <formula>"Moderado"</formula>
    </cfRule>
    <cfRule type="cellIs" dxfId="47" priority="88" operator="equal">
      <formula>"Menor"</formula>
    </cfRule>
    <cfRule type="cellIs" dxfId="46" priority="89" operator="equal">
      <formula>"Leve"</formula>
    </cfRule>
  </conditionalFormatting>
  <conditionalFormatting sqref="M20">
    <cfRule type="cellIs" dxfId="45" priority="103" operator="equal">
      <formula>"Catastrófico"</formula>
    </cfRule>
    <cfRule type="cellIs" dxfId="44" priority="104" operator="equal">
      <formula>"Mayor"</formula>
    </cfRule>
    <cfRule type="cellIs" dxfId="43" priority="105" operator="equal">
      <formula>"Moderado"</formula>
    </cfRule>
    <cfRule type="cellIs" dxfId="42" priority="106" operator="equal">
      <formula>"Menor"</formula>
    </cfRule>
    <cfRule type="cellIs" dxfId="41" priority="107" operator="equal">
      <formula>"Leve"</formula>
    </cfRule>
  </conditionalFormatting>
  <conditionalFormatting sqref="M23:M24">
    <cfRule type="cellIs" dxfId="40" priority="27" operator="equal">
      <formula>"Catastrófico"</formula>
    </cfRule>
    <cfRule type="cellIs" dxfId="39" priority="28" operator="equal">
      <formula>"Mayor"</formula>
    </cfRule>
    <cfRule type="cellIs" dxfId="38" priority="29" operator="equal">
      <formula>"Moderado"</formula>
    </cfRule>
    <cfRule type="cellIs" dxfId="37" priority="30" operator="equal">
      <formula>"Menor"</formula>
    </cfRule>
    <cfRule type="cellIs" dxfId="36" priority="31" operator="equal">
      <formula>"Leve"</formula>
    </cfRule>
  </conditionalFormatting>
  <conditionalFormatting sqref="N7:N32">
    <cfRule type="containsText" dxfId="35" priority="113" operator="containsText" text="Moderado">
      <formula>NOT(ISERROR(SEARCH("Moderado",N7)))</formula>
    </cfRule>
    <cfRule type="containsText" dxfId="34" priority="114" operator="containsText" text="Mayor">
      <formula>NOT(ISERROR(SEARCH("Mayor",N7)))</formula>
    </cfRule>
    <cfRule type="containsText" dxfId="33" priority="115" operator="containsText" text="Mayor">
      <formula>NOT(ISERROR(SEARCH("Mayor",N7)))</formula>
    </cfRule>
    <cfRule type="containsText" dxfId="32" priority="116" operator="containsText" text="Catastrófico">
      <formula>NOT(ISERROR(SEARCH("Catastrófico",N7)))</formula>
    </cfRule>
  </conditionalFormatting>
  <conditionalFormatting sqref="P7 P26:P28">
    <cfRule type="cellIs" dxfId="31" priority="508" operator="equal">
      <formula>"Extremo"</formula>
    </cfRule>
    <cfRule type="cellIs" dxfId="30" priority="509" operator="equal">
      <formula>"Alto"</formula>
    </cfRule>
    <cfRule type="cellIs" dxfId="29" priority="510" operator="equal">
      <formula>"Moderado"</formula>
    </cfRule>
    <cfRule type="cellIs" dxfId="28" priority="511" operator="equal">
      <formula>"Bajo"</formula>
    </cfRule>
  </conditionalFormatting>
  <conditionalFormatting sqref="P9:P10">
    <cfRule type="cellIs" dxfId="27" priority="149" operator="equal">
      <formula>"Extremo"</formula>
    </cfRule>
    <cfRule type="cellIs" dxfId="26" priority="150" operator="equal">
      <formula>"Alto"</formula>
    </cfRule>
    <cfRule type="cellIs" dxfId="25" priority="151" operator="equal">
      <formula>"Moderado"</formula>
    </cfRule>
    <cfRule type="cellIs" dxfId="24" priority="152" operator="equal">
      <formula>"Bajo"</formula>
    </cfRule>
  </conditionalFormatting>
  <conditionalFormatting sqref="P12">
    <cfRule type="cellIs" dxfId="23" priority="448" operator="equal">
      <formula>"Extremo"</formula>
    </cfRule>
    <cfRule type="cellIs" dxfId="22" priority="449" operator="equal">
      <formula>"Alto"</formula>
    </cfRule>
    <cfRule type="cellIs" dxfId="21" priority="450" operator="equal">
      <formula>"Moderado"</formula>
    </cfRule>
    <cfRule type="cellIs" dxfId="20" priority="451" operator="equal">
      <formula>"Bajo"</formula>
    </cfRule>
  </conditionalFormatting>
  <conditionalFormatting sqref="P14:P15">
    <cfRule type="cellIs" dxfId="19" priority="45" operator="equal">
      <formula>"Extremo"</formula>
    </cfRule>
    <cfRule type="cellIs" dxfId="18" priority="46" operator="equal">
      <formula>"Alto"</formula>
    </cfRule>
    <cfRule type="cellIs" dxfId="17" priority="47" operator="equal">
      <formula>"Moderado"</formula>
    </cfRule>
    <cfRule type="cellIs" dxfId="16" priority="48" operator="equal">
      <formula>"Bajo"</formula>
    </cfRule>
  </conditionalFormatting>
  <conditionalFormatting sqref="P17">
    <cfRule type="cellIs" dxfId="15" priority="81" operator="equal">
      <formula>"Extremo"</formula>
    </cfRule>
    <cfRule type="cellIs" dxfId="14" priority="82" operator="equal">
      <formula>"Alto"</formula>
    </cfRule>
    <cfRule type="cellIs" dxfId="13" priority="83" operator="equal">
      <formula>"Moderado"</formula>
    </cfRule>
    <cfRule type="cellIs" dxfId="12" priority="84" operator="equal">
      <formula>"Bajo"</formula>
    </cfRule>
  </conditionalFormatting>
  <conditionalFormatting sqref="P20">
    <cfRule type="cellIs" dxfId="11" priority="99" operator="equal">
      <formula>"Extremo"</formula>
    </cfRule>
    <cfRule type="cellIs" dxfId="10" priority="100" operator="equal">
      <formula>"Alto"</formula>
    </cfRule>
    <cfRule type="cellIs" dxfId="9" priority="101" operator="equal">
      <formula>"Moderado"</formula>
    </cfRule>
    <cfRule type="cellIs" dxfId="8" priority="102" operator="equal">
      <formula>"Bajo"</formula>
    </cfRule>
  </conditionalFormatting>
  <conditionalFormatting sqref="P23:P24">
    <cfRule type="cellIs" dxfId="7" priority="23" operator="equal">
      <formula>"Extremo"</formula>
    </cfRule>
    <cfRule type="cellIs" dxfId="6" priority="24" operator="equal">
      <formula>"Alto"</formula>
    </cfRule>
    <cfRule type="cellIs" dxfId="5" priority="25" operator="equal">
      <formula>"Moderado"</formula>
    </cfRule>
    <cfRule type="cellIs" dxfId="4" priority="26" operator="equal">
      <formula>"Bajo"</formula>
    </cfRule>
  </conditionalFormatting>
  <conditionalFormatting sqref="AG7:AG32 N15 P30:P32">
    <cfRule type="cellIs" dxfId="3" priority="37" operator="equal">
      <formula>"Extremo"</formula>
    </cfRule>
    <cfRule type="cellIs" dxfId="2" priority="38" operator="equal">
      <formula>"Alto"</formula>
    </cfRule>
    <cfRule type="cellIs" dxfId="1" priority="39" operator="equal">
      <formula>"Moderado"</formula>
    </cfRule>
    <cfRule type="cellIs" dxfId="0" priority="40" operator="equal">
      <formula>"Bajo"</formula>
    </cfRule>
  </conditionalFormatting>
  <dataValidations count="3">
    <dataValidation type="list" allowBlank="1" showInputMessage="1" showErrorMessage="1" sqref="C14 C30:C31 C24:C29 C12:C13" xr:uid="{00000000-0002-0000-0600-000000000000}">
      <formula1>$B$5:$B$13</formula1>
    </dataValidation>
    <dataValidation type="list" allowBlank="1" showInputMessage="1" showErrorMessage="1" sqref="C23" xr:uid="{E57CE6CB-84CF-426D-9D1D-207536D2E343}">
      <formula1>$B$5:$B$25</formula1>
    </dataValidation>
    <dataValidation type="list" allowBlank="1" showInputMessage="1" showErrorMessage="1" sqref="S32 S28:S29 H28:H29 H7:H13 S7:S13 H24:H26 S24:S26" xr:uid="{00000000-0002-0000-0600-000007000000}"/>
  </dataValidations>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600-000001000000}">
          <x14:formula1>
            <xm:f>'Opciones Tratamiento'!$B$15:$B$24</xm:f>
          </x14:formula1>
          <xm:sqref>H27 H30:H31 H32</xm:sqref>
        </x14:dataValidation>
        <x14:dataValidation type="list" allowBlank="1" showInputMessage="1" showErrorMessage="1" xr:uid="{00000000-0002-0000-0600-000002000000}">
          <x14:formula1>
            <xm:f>Listas!$B$5:$B$35</xm:f>
          </x14:formula1>
          <xm:sqref>C32 C9:C13</xm:sqref>
        </x14:dataValidation>
        <x14:dataValidation type="list" allowBlank="1" showInputMessage="1" showErrorMessage="1" xr:uid="{00000000-0002-0000-0600-000003000000}">
          <x14:formula1>
            <xm:f>'Opciones Tratamiento'!$E$9:$E$10</xm:f>
          </x14:formula1>
          <xm:sqref>S27 S30:S31</xm:sqref>
        </x14:dataValidation>
        <x14:dataValidation type="list" allowBlank="1" showInputMessage="1" showErrorMessage="1" xr:uid="{00000000-0002-0000-0600-000004000000}">
          <x14:formula1>
            <xm:f>Listas!$B$5:$B$34</xm:f>
          </x14:formula1>
          <xm:sqref>C7:C8</xm:sqref>
        </x14:dataValidation>
        <x14:dataValidation type="list" allowBlank="1" showInputMessage="1" showErrorMessage="1" xr:uid="{00000000-0002-0000-0600-00000B000000}">
          <x14:formula1>
            <xm:f>Listas!$L$5:$L$6</xm:f>
          </x14:formula1>
          <xm:sqref>B7:B13 B24:B32</xm:sqref>
        </x14:dataValidation>
        <x14:dataValidation type="list" allowBlank="1" showInputMessage="1" showErrorMessage="1" xr:uid="{00000000-0002-0000-0600-00000C000000}">
          <x14:formula1>
            <xm:f>'Impacto Corrupción'!$A$31:$A$33</xm:f>
          </x14:formula1>
          <xm:sqref>M7:M13 M24:M32</xm:sqref>
        </x14:dataValidation>
        <x14:dataValidation type="list" allowBlank="1" showInputMessage="1" showErrorMessage="1" xr:uid="{00000000-0002-0000-0600-00000D000000}">
          <x14:formula1>
            <xm:f>'Tabla Valoración controles'!$D$4:$D$6</xm:f>
          </x14:formula1>
          <xm:sqref>V7:V13 V24:V32</xm:sqref>
        </x14:dataValidation>
        <x14:dataValidation type="list" allowBlank="1" showInputMessage="1" showErrorMessage="1" xr:uid="{00000000-0002-0000-0600-00000E000000}">
          <x14:formula1>
            <xm:f>'Tabla Valoración controles'!$D$7:$D$8</xm:f>
          </x14:formula1>
          <xm:sqref>W7:W13 W24:W32</xm:sqref>
        </x14:dataValidation>
        <x14:dataValidation type="list" allowBlank="1" showInputMessage="1" showErrorMessage="1" xr:uid="{00000000-0002-0000-0600-00000F000000}">
          <x14:formula1>
            <xm:f>'Tabla Valoración controles'!$D$9:$D$10</xm:f>
          </x14:formula1>
          <xm:sqref>Y7:Y13 Y24:Y32</xm:sqref>
        </x14:dataValidation>
        <x14:dataValidation type="list" allowBlank="1" showInputMessage="1" showErrorMessage="1" xr:uid="{00000000-0002-0000-0600-000010000000}">
          <x14:formula1>
            <xm:f>'Tabla Valoración controles'!$D$11:$D$12</xm:f>
          </x14:formula1>
          <xm:sqref>Z7:Z13 Z24:Z32</xm:sqref>
        </x14:dataValidation>
        <x14:dataValidation type="list" allowBlank="1" showInputMessage="1" showErrorMessage="1" xr:uid="{00000000-0002-0000-0600-000011000000}">
          <x14:formula1>
            <xm:f>'Tabla Valoración controles'!$D$13:$D$14</xm:f>
          </x14:formula1>
          <xm:sqref>AA7:AA13 AA24:AA32</xm:sqref>
        </x14:dataValidation>
        <x14:dataValidation type="list" allowBlank="1" showInputMessage="1" showErrorMessage="1" xr:uid="{00000000-0002-0000-0600-000012000000}">
          <x14:formula1>
            <xm:f>Listas!$K$5:$K$11</xm:f>
          </x14:formula1>
          <xm:sqref>D7:D13 D24:D32</xm:sqref>
        </x14:dataValidation>
        <x14:dataValidation type="list" allowBlank="1" showInputMessage="1" showErrorMessage="1" xr:uid="{00000000-0002-0000-0600-000013000000}">
          <x14:formula1>
            <xm:f>'Opciones Tratamiento'!$B$2:$B$5</xm:f>
          </x14:formula1>
          <xm:sqref>AH7:AH13 AH24:AH32</xm:sqref>
        </x14:dataValidation>
        <x14:dataValidation type="custom" allowBlank="1" showInputMessage="1" showErrorMessage="1" error="Recuerde que las acciones se generan bajo la medida de mitigar el riesgo" xr:uid="{00000000-0002-0000-0600-000005000000}">
          <x14:formula1>
            <xm:f>IF(OR(AH30='Opciones Tratamiento'!$B$2,AH30='Opciones Tratamiento'!$B$3,AH30='Opciones Tratamiento'!$B$4),ISBLANK(AH30),ISTEXT(AH30))</xm:f>
          </x14:formula1>
          <xm:sqref>AM32:AN32 AM30:AN31</xm:sqref>
        </x14:dataValidation>
        <x14:dataValidation type="custom" allowBlank="1" showInputMessage="1" showErrorMessage="1" error="Recuerde que las acciones se generan bajo la medida de mitigar el riesgo" xr:uid="{00000000-0002-0000-0600-000006000000}">
          <x14:formula1>
            <xm:f>IF(OR(AH30='Opciones Tratamiento'!$B$2,AH30='Opciones Tratamiento'!$B$3,AH30='Opciones Tratamiento'!$B$4),ISBLANK(AH30),ISTEXT(AH30))</xm:f>
          </x14:formula1>
          <xm:sqref>AO32 AO30:AO31</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A1:G35"/>
  <sheetViews>
    <sheetView zoomScale="85" zoomScaleNormal="85" workbookViewId="0">
      <selection activeCell="A37" sqref="A37"/>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c r="D9" s="583"/>
    </row>
    <row r="10" spans="1:4" ht="15.75" thickBot="1" x14ac:dyDescent="0.3">
      <c r="A10" s="180">
        <v>2</v>
      </c>
      <c r="B10" s="181" t="s">
        <v>210</v>
      </c>
      <c r="C10" s="582"/>
      <c r="D10" s="583"/>
    </row>
    <row r="11" spans="1:4" ht="15.75" thickBot="1" x14ac:dyDescent="0.3">
      <c r="A11" s="180">
        <v>3</v>
      </c>
      <c r="B11" s="181" t="s">
        <v>209</v>
      </c>
      <c r="C11" s="582"/>
      <c r="D11" s="583"/>
    </row>
    <row r="12" spans="1:4" ht="15.75" thickBot="1" x14ac:dyDescent="0.3">
      <c r="A12" s="180">
        <v>4</v>
      </c>
      <c r="B12" s="181" t="s">
        <v>208</v>
      </c>
      <c r="C12" s="582"/>
      <c r="D12" s="583"/>
    </row>
    <row r="13" spans="1:4" ht="15.75" thickBot="1" x14ac:dyDescent="0.3">
      <c r="A13" s="180">
        <v>5</v>
      </c>
      <c r="B13" s="181" t="s">
        <v>207</v>
      </c>
      <c r="C13" s="582"/>
      <c r="D13" s="583"/>
    </row>
    <row r="14" spans="1:4" ht="15.75" thickBot="1" x14ac:dyDescent="0.3">
      <c r="A14" s="180">
        <v>6</v>
      </c>
      <c r="B14" s="181" t="s">
        <v>206</v>
      </c>
      <c r="C14" s="582"/>
      <c r="D14" s="583"/>
    </row>
    <row r="15" spans="1:4" ht="15.75" thickBot="1" x14ac:dyDescent="0.3">
      <c r="A15" s="180">
        <v>7</v>
      </c>
      <c r="B15" s="181" t="s">
        <v>205</v>
      </c>
      <c r="C15" s="582"/>
      <c r="D15" s="583"/>
    </row>
    <row r="16" spans="1:4" ht="15.75" thickBot="1" x14ac:dyDescent="0.3">
      <c r="A16" s="180">
        <v>8</v>
      </c>
      <c r="B16" s="181" t="s">
        <v>204</v>
      </c>
      <c r="C16" s="582"/>
      <c r="D16" s="583"/>
    </row>
    <row r="17" spans="1:4" ht="15.75" thickBot="1" x14ac:dyDescent="0.3">
      <c r="A17" s="180">
        <v>9</v>
      </c>
      <c r="B17" s="181" t="s">
        <v>203</v>
      </c>
      <c r="C17" s="582"/>
      <c r="D17" s="583"/>
    </row>
    <row r="18" spans="1:4" ht="15.75" thickBot="1" x14ac:dyDescent="0.3">
      <c r="A18" s="180">
        <v>10</v>
      </c>
      <c r="B18" s="181" t="s">
        <v>202</v>
      </c>
      <c r="C18" s="582"/>
      <c r="D18" s="583"/>
    </row>
    <row r="19" spans="1:4" ht="15.75" thickBot="1" x14ac:dyDescent="0.3">
      <c r="A19" s="180">
        <v>11</v>
      </c>
      <c r="B19" s="181" t="s">
        <v>201</v>
      </c>
      <c r="C19" s="582"/>
      <c r="D19" s="583"/>
    </row>
    <row r="20" spans="1:4" ht="15.75" thickBot="1" x14ac:dyDescent="0.3">
      <c r="A20" s="180">
        <v>12</v>
      </c>
      <c r="B20" s="181" t="s">
        <v>200</v>
      </c>
      <c r="C20" s="582"/>
      <c r="D20" s="583"/>
    </row>
    <row r="21" spans="1:4" ht="15.75" thickBot="1" x14ac:dyDescent="0.3">
      <c r="A21" s="180">
        <v>13</v>
      </c>
      <c r="B21" s="181" t="s">
        <v>199</v>
      </c>
      <c r="C21" s="582"/>
      <c r="D21" s="583"/>
    </row>
    <row r="22" spans="1:4" ht="15.75" thickBot="1" x14ac:dyDescent="0.3">
      <c r="A22" s="180">
        <v>14</v>
      </c>
      <c r="B22" s="181" t="s">
        <v>198</v>
      </c>
      <c r="C22" s="582"/>
      <c r="D22" s="583"/>
    </row>
    <row r="23" spans="1:4" ht="15.75" thickBot="1" x14ac:dyDescent="0.3">
      <c r="A23" s="180">
        <v>15</v>
      </c>
      <c r="B23" s="181" t="s">
        <v>197</v>
      </c>
      <c r="C23" s="582"/>
      <c r="D23" s="583"/>
    </row>
    <row r="24" spans="1:4" ht="15.75" thickBot="1" x14ac:dyDescent="0.3">
      <c r="A24" s="180">
        <v>16</v>
      </c>
      <c r="B24" s="181" t="s">
        <v>196</v>
      </c>
      <c r="C24" s="582"/>
      <c r="D24" s="583"/>
    </row>
    <row r="25" spans="1:4" ht="15.75" thickBot="1" x14ac:dyDescent="0.3">
      <c r="A25" s="180">
        <v>17</v>
      </c>
      <c r="B25" s="181" t="s">
        <v>195</v>
      </c>
      <c r="C25" s="582"/>
      <c r="D25" s="583"/>
    </row>
    <row r="26" spans="1:4" ht="15.75" thickBot="1" x14ac:dyDescent="0.3">
      <c r="A26" s="180">
        <v>18</v>
      </c>
      <c r="B26" s="181" t="s">
        <v>194</v>
      </c>
      <c r="C26" s="582"/>
      <c r="D26" s="583"/>
    </row>
    <row r="27" spans="1:4" ht="15.75" thickBot="1" x14ac:dyDescent="0.3">
      <c r="A27" s="180">
        <v>19</v>
      </c>
      <c r="B27" s="181" t="s">
        <v>193</v>
      </c>
      <c r="C27" s="582"/>
      <c r="D27" s="583"/>
    </row>
    <row r="28" spans="1:4" ht="15.75" customHeight="1" thickBot="1" x14ac:dyDescent="0.3">
      <c r="A28" s="182"/>
      <c r="B28" s="182"/>
      <c r="C28" s="182"/>
      <c r="D28" s="182"/>
    </row>
    <row r="29" spans="1:4" ht="15.75" thickBot="1" x14ac:dyDescent="0.3">
      <c r="A29" s="592" t="s">
        <v>190</v>
      </c>
      <c r="B29" s="593"/>
      <c r="C29" s="596"/>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A29:B29"/>
    <mergeCell ref="C29:D29"/>
    <mergeCell ref="C23:D23"/>
    <mergeCell ref="C24:D24"/>
    <mergeCell ref="C25:D25"/>
    <mergeCell ref="C26:D26"/>
    <mergeCell ref="C27:D27"/>
    <mergeCell ref="C17:D17"/>
    <mergeCell ref="C18:D18"/>
    <mergeCell ref="C19:D19"/>
    <mergeCell ref="C20:D20"/>
    <mergeCell ref="C22:D22"/>
    <mergeCell ref="C21:D21"/>
    <mergeCell ref="C12:D12"/>
    <mergeCell ref="C13:D13"/>
    <mergeCell ref="C14:D14"/>
    <mergeCell ref="C15:D15"/>
    <mergeCell ref="C16:D16"/>
    <mergeCell ref="C10:D10"/>
    <mergeCell ref="C11:D11"/>
    <mergeCell ref="A1:A3"/>
    <mergeCell ref="B1:D1"/>
    <mergeCell ref="B2:D2"/>
    <mergeCell ref="C9:D9"/>
    <mergeCell ref="A5:D5"/>
    <mergeCell ref="A6:D6"/>
    <mergeCell ref="C7:D7"/>
    <mergeCell ref="A8:B8"/>
    <mergeCell ref="C8:D8"/>
  </mergeCells>
  <pageMargins left="0.7" right="0.7" top="0.75" bottom="0.75" header="0.3" footer="0.3"/>
  <pageSetup scale="43" orientation="portrait" horizontalDpi="300" verticalDpi="300" r:id="rId1"/>
  <colBreaks count="1" manualBreakCount="1">
    <brk id="1" min="4" max="30"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Listas!$B$48:$B$49</xm:f>
          </x14:formula1>
          <xm:sqref>C9:D27</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293</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293</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11</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Listas!$B$48:$B$49</xm:f>
          </x14:formula1>
          <xm:sqref>C9:D27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35"/>
  <sheetViews>
    <sheetView topLeftCell="A18" workbookViewId="0">
      <selection activeCell="B35" sqref="B35"/>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292</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15</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Listas!$B$48:$B$49</xm:f>
          </x14:formula1>
          <xm:sqref>C9:D27</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35"/>
  <sheetViews>
    <sheetView workbookViewId="0">
      <selection activeCell="B32" sqref="B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293</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293</v>
      </c>
      <c r="D15" s="583"/>
    </row>
    <row r="16" spans="1:4" ht="15.75" thickBot="1" x14ac:dyDescent="0.3">
      <c r="A16" s="180">
        <v>8</v>
      </c>
      <c r="B16" s="181" t="s">
        <v>204</v>
      </c>
      <c r="C16" s="582" t="s">
        <v>292</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293</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293</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10</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Listas!$B$48:$B$49</xm:f>
          </x14:formula1>
          <xm:sqref>C9:D27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topLeftCell="A10" zoomScale="120" zoomScaleNormal="120"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293</v>
      </c>
      <c r="D10" s="583"/>
    </row>
    <row r="11" spans="1:4" ht="15.75" thickBot="1" x14ac:dyDescent="0.3">
      <c r="A11" s="180">
        <v>3</v>
      </c>
      <c r="B11" s="181" t="s">
        <v>209</v>
      </c>
      <c r="C11" s="582" t="s">
        <v>293</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293</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293</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8</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0000000}">
          <x14:formula1>
            <xm:f>Listas!$B$48:$B$49</xm:f>
          </x14:formula1>
          <xm:sqref>C9:D27</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768</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292</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292</v>
      </c>
      <c r="D23" s="583"/>
    </row>
    <row r="24" spans="1:4" ht="15.75" thickBot="1" x14ac:dyDescent="0.3">
      <c r="A24" s="180">
        <v>16</v>
      </c>
      <c r="B24" s="181" t="s">
        <v>196</v>
      </c>
      <c r="C24" s="582" t="s">
        <v>292</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292</v>
      </c>
      <c r="D27" s="583"/>
    </row>
    <row r="28" spans="1:4" ht="15.75" customHeight="1" thickBot="1" x14ac:dyDescent="0.3">
      <c r="A28" s="182"/>
      <c r="B28" s="182"/>
      <c r="C28" s="182"/>
      <c r="D28" s="182"/>
    </row>
    <row r="29" spans="1:4" ht="15.75" thickBot="1" x14ac:dyDescent="0.3">
      <c r="A29" s="592" t="s">
        <v>190</v>
      </c>
      <c r="B29" s="593"/>
      <c r="C29" s="596">
        <f>COUNTIF(C9:D27,"SI")</f>
        <v>19</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0000000}">
          <x14:formula1>
            <xm:f>Listas!$B$48:$B$49</xm:f>
          </x14:formula1>
          <xm:sqref>C9:D27</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35"/>
  <sheetViews>
    <sheetView workbookViewId="0">
      <selection activeCell="B32" sqref="B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768</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293</v>
      </c>
      <c r="D10" s="583"/>
    </row>
    <row r="11" spans="1:4" ht="15.75" thickBot="1" x14ac:dyDescent="0.3">
      <c r="A11" s="180">
        <v>3</v>
      </c>
      <c r="B11" s="181" t="s">
        <v>209</v>
      </c>
      <c r="C11" s="582" t="s">
        <v>292</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293</v>
      </c>
      <c r="D23" s="583"/>
    </row>
    <row r="24" spans="1:4" ht="15.75" thickBot="1" x14ac:dyDescent="0.3">
      <c r="A24" s="180">
        <v>16</v>
      </c>
      <c r="B24" s="181" t="s">
        <v>196</v>
      </c>
      <c r="C24" s="582" t="s">
        <v>292</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11</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Listas!$B$48:$B$49</xm:f>
          </x14:formula1>
          <xm:sqref>C9:D27</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35"/>
  <sheetViews>
    <sheetView topLeftCell="A13"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293</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293</v>
      </c>
      <c r="D14" s="583"/>
    </row>
    <row r="15" spans="1:4" ht="15.75" thickBot="1" x14ac:dyDescent="0.3">
      <c r="A15" s="180">
        <v>7</v>
      </c>
      <c r="B15" s="181" t="s">
        <v>205</v>
      </c>
      <c r="C15" s="582" t="s">
        <v>293</v>
      </c>
      <c r="D15" s="583"/>
    </row>
    <row r="16" spans="1:4" ht="15.75" thickBot="1" x14ac:dyDescent="0.3">
      <c r="A16" s="180">
        <v>8</v>
      </c>
      <c r="B16" s="181" t="s">
        <v>204</v>
      </c>
      <c r="C16" s="582" t="s">
        <v>292</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292</v>
      </c>
      <c r="D22" s="583"/>
    </row>
    <row r="23" spans="1:4" ht="15.75" thickBot="1" x14ac:dyDescent="0.3">
      <c r="A23" s="180">
        <v>15</v>
      </c>
      <c r="B23" s="181" t="s">
        <v>197</v>
      </c>
      <c r="C23" s="582" t="s">
        <v>293</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293</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8</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Listas!$B$48:$B$49</xm:f>
          </x14:formula1>
          <xm:sqref>C9:D27</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35"/>
  <sheetViews>
    <sheetView topLeftCell="A16" workbookViewId="0">
      <selection activeCell="A16"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292</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17</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F00-000000000000}">
          <x14:formula1>
            <xm:f>Listas!$B$48:$B$49</xm:f>
          </x14:formula1>
          <xm:sqref>C9:D27</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5"/>
  <sheetViews>
    <sheetView workbookViewId="0">
      <selection activeCell="B21" sqref="B21"/>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293</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293</v>
      </c>
      <c r="D14" s="583"/>
    </row>
    <row r="15" spans="1:4" ht="15.75" thickBot="1" x14ac:dyDescent="0.3">
      <c r="A15" s="180">
        <v>7</v>
      </c>
      <c r="B15" s="181" t="s">
        <v>205</v>
      </c>
      <c r="C15" s="582" t="s">
        <v>292</v>
      </c>
      <c r="D15" s="583"/>
    </row>
    <row r="16" spans="1:4" ht="15.75" thickBot="1" x14ac:dyDescent="0.3">
      <c r="A16" s="180">
        <v>8</v>
      </c>
      <c r="B16" s="181" t="s">
        <v>204</v>
      </c>
      <c r="C16" s="582" t="s">
        <v>292</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292</v>
      </c>
      <c r="D27" s="583"/>
    </row>
    <row r="28" spans="1:4" ht="15.75" customHeight="1" thickBot="1" x14ac:dyDescent="0.3">
      <c r="A28" s="182"/>
      <c r="B28" s="182"/>
      <c r="C28" s="182"/>
      <c r="D28" s="182"/>
    </row>
    <row r="29" spans="1:4" ht="15.75" thickBot="1" x14ac:dyDescent="0.3">
      <c r="A29" s="592" t="s">
        <v>190</v>
      </c>
      <c r="B29" s="593"/>
      <c r="C29" s="596">
        <f>COUNTIF(C9:D27,"SI")</f>
        <v>14</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000-000000000000}">
          <x14:formula1>
            <xm:f>Listas!$B$48:$B$49</xm:f>
          </x14:formula1>
          <xm:sqref>C9:D27</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35"/>
  <sheetViews>
    <sheetView topLeftCell="A17" workbookViewId="0">
      <selection activeCell="A29" sqref="A29:B29"/>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100-000000000000}">
          <x14:formula1>
            <xm:f>Listas!$B$48:$B$49</xm:f>
          </x14:formula1>
          <xm:sqref>C9:D27</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5"/>
  <sheetViews>
    <sheetView topLeftCell="A19" workbookViewId="0">
      <selection activeCell="C29" sqref="C29:D29"/>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13</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200-000000000000}">
          <x14:formula1>
            <xm:f>Listas!$B$48:$B$49</xm:f>
          </x14:formula1>
          <xm:sqref>C9:D27</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293</v>
      </c>
      <c r="D11" s="583"/>
    </row>
    <row r="12" spans="1:4" ht="15.75" thickBot="1" x14ac:dyDescent="0.3">
      <c r="A12" s="180">
        <v>4</v>
      </c>
      <c r="B12" s="181" t="s">
        <v>208</v>
      </c>
      <c r="C12" s="582" t="s">
        <v>293</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293</v>
      </c>
      <c r="D15" s="583"/>
    </row>
    <row r="16" spans="1:4" ht="15.75" thickBot="1" x14ac:dyDescent="0.3">
      <c r="A16" s="180">
        <v>8</v>
      </c>
      <c r="B16" s="181" t="s">
        <v>204</v>
      </c>
      <c r="C16" s="582" t="s">
        <v>293</v>
      </c>
      <c r="D16" s="583"/>
    </row>
    <row r="17" spans="1:4" ht="15.75" thickBot="1" x14ac:dyDescent="0.3">
      <c r="A17" s="180">
        <v>9</v>
      </c>
      <c r="B17" s="181" t="s">
        <v>203</v>
      </c>
      <c r="C17" s="582" t="s">
        <v>293</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293</v>
      </c>
      <c r="D23" s="583"/>
    </row>
    <row r="24" spans="1:4" ht="15.75" thickBot="1" x14ac:dyDescent="0.3">
      <c r="A24" s="180">
        <v>16</v>
      </c>
      <c r="B24" s="181" t="s">
        <v>196</v>
      </c>
      <c r="C24" s="582" t="s">
        <v>293</v>
      </c>
      <c r="D24" s="583"/>
    </row>
    <row r="25" spans="1:4" ht="15.75" thickBot="1" x14ac:dyDescent="0.3">
      <c r="A25" s="180">
        <v>17</v>
      </c>
      <c r="B25" s="181" t="s">
        <v>195</v>
      </c>
      <c r="C25" s="582" t="s">
        <v>293</v>
      </c>
      <c r="D25" s="583"/>
    </row>
    <row r="26" spans="1:4" ht="15.75" thickBot="1" x14ac:dyDescent="0.3">
      <c r="A26" s="180">
        <v>18</v>
      </c>
      <c r="B26" s="181" t="s">
        <v>194</v>
      </c>
      <c r="C26" s="582" t="s">
        <v>293</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9</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0000000}">
          <x14:formula1>
            <xm:f>Listas!$B$48:$B$49</xm:f>
          </x14:formula1>
          <xm:sqref>C9:D27</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35"/>
  <sheetViews>
    <sheetView topLeftCell="A19" workbookViewId="0">
      <selection activeCell="B16" sqref="B1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14</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Listas!$B$48:$B$49</xm:f>
          </x14:formula1>
          <xm:sqref>C9:D27</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35"/>
  <sheetViews>
    <sheetView topLeftCell="A16" workbookViewId="0">
      <selection activeCell="F8" sqref="F8"/>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293</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293</v>
      </c>
      <c r="D21" s="583"/>
    </row>
    <row r="22" spans="1:4" ht="15.75" thickBot="1" x14ac:dyDescent="0.3">
      <c r="A22" s="180">
        <v>14</v>
      </c>
      <c r="B22" s="181" t="s">
        <v>198</v>
      </c>
      <c r="C22" s="582" t="s">
        <v>293</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14</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0000000}">
          <x14:formula1>
            <xm:f>Listas!$B$48:$B$49</xm:f>
          </x14:formula1>
          <xm:sqref>C9:D27</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35"/>
  <sheetViews>
    <sheetView topLeftCell="A15" workbookViewId="0">
      <selection activeCell="C32" sqref="C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4"/>
      <c r="B1" s="385" t="s">
        <v>274</v>
      </c>
      <c r="C1" s="385"/>
      <c r="D1" s="386"/>
    </row>
    <row r="2" spans="1:4" x14ac:dyDescent="0.25">
      <c r="A2" s="585"/>
      <c r="B2" s="387" t="s">
        <v>588</v>
      </c>
      <c r="C2" s="387"/>
      <c r="D2" s="388"/>
    </row>
    <row r="3" spans="1:4" ht="15.75" thickBot="1" x14ac:dyDescent="0.3">
      <c r="A3" s="586"/>
      <c r="B3" s="200"/>
      <c r="C3" s="200"/>
      <c r="D3" s="199"/>
    </row>
    <row r="4" spans="1:4" ht="16.5" thickTop="1" thickBot="1" x14ac:dyDescent="0.3">
      <c r="A4" s="217"/>
      <c r="B4" s="177"/>
      <c r="C4" s="132"/>
      <c r="D4" s="177"/>
    </row>
    <row r="5" spans="1:4" ht="24.75" customHeight="1" thickBot="1" x14ac:dyDescent="0.3">
      <c r="A5" s="587" t="s">
        <v>217</v>
      </c>
      <c r="B5" s="588"/>
      <c r="C5" s="588"/>
      <c r="D5" s="588"/>
    </row>
    <row r="6" spans="1:4" ht="23.25" customHeight="1" thickBot="1" x14ac:dyDescent="0.3">
      <c r="A6" s="589" t="s">
        <v>216</v>
      </c>
      <c r="B6" s="590"/>
      <c r="C6" s="590"/>
      <c r="D6" s="591"/>
    </row>
    <row r="7" spans="1:4" ht="15.75" thickBot="1" x14ac:dyDescent="0.3">
      <c r="A7" s="178" t="s">
        <v>212</v>
      </c>
      <c r="B7" s="179" t="s">
        <v>215</v>
      </c>
      <c r="C7" s="592" t="s">
        <v>214</v>
      </c>
      <c r="D7" s="593"/>
    </row>
    <row r="8" spans="1:4" ht="33.75" customHeight="1" thickBot="1" x14ac:dyDescent="0.3">
      <c r="A8" s="582" t="s">
        <v>213</v>
      </c>
      <c r="B8" s="583"/>
      <c r="C8" s="594" t="s">
        <v>291</v>
      </c>
      <c r="D8" s="595"/>
    </row>
    <row r="9" spans="1:4" ht="15.75" thickBot="1" x14ac:dyDescent="0.3">
      <c r="A9" s="180">
        <v>1</v>
      </c>
      <c r="B9" s="181" t="s">
        <v>211</v>
      </c>
      <c r="C9" s="582" t="s">
        <v>292</v>
      </c>
      <c r="D9" s="583"/>
    </row>
    <row r="10" spans="1:4" ht="15.75" thickBot="1" x14ac:dyDescent="0.3">
      <c r="A10" s="180">
        <v>2</v>
      </c>
      <c r="B10" s="181" t="s">
        <v>210</v>
      </c>
      <c r="C10" s="582" t="s">
        <v>292</v>
      </c>
      <c r="D10" s="583"/>
    </row>
    <row r="11" spans="1:4" ht="15.75" thickBot="1" x14ac:dyDescent="0.3">
      <c r="A11" s="180">
        <v>3</v>
      </c>
      <c r="B11" s="181" t="s">
        <v>209</v>
      </c>
      <c r="C11" s="582" t="s">
        <v>292</v>
      </c>
      <c r="D11" s="583"/>
    </row>
    <row r="12" spans="1:4" ht="15.75" thickBot="1" x14ac:dyDescent="0.3">
      <c r="A12" s="180">
        <v>4</v>
      </c>
      <c r="B12" s="181" t="s">
        <v>208</v>
      </c>
      <c r="C12" s="582" t="s">
        <v>292</v>
      </c>
      <c r="D12" s="583"/>
    </row>
    <row r="13" spans="1:4" ht="15.75" thickBot="1" x14ac:dyDescent="0.3">
      <c r="A13" s="180">
        <v>5</v>
      </c>
      <c r="B13" s="181" t="s">
        <v>207</v>
      </c>
      <c r="C13" s="582" t="s">
        <v>292</v>
      </c>
      <c r="D13" s="583"/>
    </row>
    <row r="14" spans="1:4" ht="15.75" thickBot="1" x14ac:dyDescent="0.3">
      <c r="A14" s="180">
        <v>6</v>
      </c>
      <c r="B14" s="181" t="s">
        <v>206</v>
      </c>
      <c r="C14" s="582" t="s">
        <v>292</v>
      </c>
      <c r="D14" s="583"/>
    </row>
    <row r="15" spans="1:4" ht="15.75" thickBot="1" x14ac:dyDescent="0.3">
      <c r="A15" s="180">
        <v>7</v>
      </c>
      <c r="B15" s="181" t="s">
        <v>205</v>
      </c>
      <c r="C15" s="582" t="s">
        <v>292</v>
      </c>
      <c r="D15" s="583"/>
    </row>
    <row r="16" spans="1:4" ht="15.75" thickBot="1" x14ac:dyDescent="0.3">
      <c r="A16" s="180">
        <v>8</v>
      </c>
      <c r="B16" s="181" t="s">
        <v>204</v>
      </c>
      <c r="C16" s="582" t="s">
        <v>292</v>
      </c>
      <c r="D16" s="583"/>
    </row>
    <row r="17" spans="1:4" ht="15.75" thickBot="1" x14ac:dyDescent="0.3">
      <c r="A17" s="180">
        <v>9</v>
      </c>
      <c r="B17" s="181" t="s">
        <v>203</v>
      </c>
      <c r="C17" s="582" t="s">
        <v>292</v>
      </c>
      <c r="D17" s="583"/>
    </row>
    <row r="18" spans="1:4" ht="15.75" thickBot="1" x14ac:dyDescent="0.3">
      <c r="A18" s="180">
        <v>10</v>
      </c>
      <c r="B18" s="181" t="s">
        <v>202</v>
      </c>
      <c r="C18" s="582" t="s">
        <v>292</v>
      </c>
      <c r="D18" s="583"/>
    </row>
    <row r="19" spans="1:4" ht="15.75" thickBot="1" x14ac:dyDescent="0.3">
      <c r="A19" s="180">
        <v>11</v>
      </c>
      <c r="B19" s="181" t="s">
        <v>201</v>
      </c>
      <c r="C19" s="582" t="s">
        <v>292</v>
      </c>
      <c r="D19" s="583"/>
    </row>
    <row r="20" spans="1:4" ht="15.75" thickBot="1" x14ac:dyDescent="0.3">
      <c r="A20" s="180">
        <v>12</v>
      </c>
      <c r="B20" s="181" t="s">
        <v>200</v>
      </c>
      <c r="C20" s="582" t="s">
        <v>292</v>
      </c>
      <c r="D20" s="583"/>
    </row>
    <row r="21" spans="1:4" ht="15.75" thickBot="1" x14ac:dyDescent="0.3">
      <c r="A21" s="180">
        <v>13</v>
      </c>
      <c r="B21" s="181" t="s">
        <v>199</v>
      </c>
      <c r="C21" s="582" t="s">
        <v>292</v>
      </c>
      <c r="D21" s="583"/>
    </row>
    <row r="22" spans="1:4" ht="15.75" thickBot="1" x14ac:dyDescent="0.3">
      <c r="A22" s="180">
        <v>14</v>
      </c>
      <c r="B22" s="181" t="s">
        <v>198</v>
      </c>
      <c r="C22" s="582" t="s">
        <v>292</v>
      </c>
      <c r="D22" s="583"/>
    </row>
    <row r="23" spans="1:4" ht="15.75" thickBot="1" x14ac:dyDescent="0.3">
      <c r="A23" s="180">
        <v>15</v>
      </c>
      <c r="B23" s="181" t="s">
        <v>197</v>
      </c>
      <c r="C23" s="582" t="s">
        <v>292</v>
      </c>
      <c r="D23" s="583"/>
    </row>
    <row r="24" spans="1:4" ht="15.75" thickBot="1" x14ac:dyDescent="0.3">
      <c r="A24" s="180">
        <v>16</v>
      </c>
      <c r="B24" s="181" t="s">
        <v>196</v>
      </c>
      <c r="C24" s="582" t="s">
        <v>293</v>
      </c>
      <c r="D24" s="583"/>
    </row>
    <row r="25" spans="1:4" ht="15.75" thickBot="1" x14ac:dyDescent="0.3">
      <c r="A25" s="180">
        <v>17</v>
      </c>
      <c r="B25" s="181" t="s">
        <v>195</v>
      </c>
      <c r="C25" s="582" t="s">
        <v>292</v>
      </c>
      <c r="D25" s="583"/>
    </row>
    <row r="26" spans="1:4" ht="15.75" thickBot="1" x14ac:dyDescent="0.3">
      <c r="A26" s="180">
        <v>18</v>
      </c>
      <c r="B26" s="181" t="s">
        <v>194</v>
      </c>
      <c r="C26" s="582" t="s">
        <v>292</v>
      </c>
      <c r="D26" s="583"/>
    </row>
    <row r="27" spans="1:4" ht="15.75" thickBot="1" x14ac:dyDescent="0.3">
      <c r="A27" s="180">
        <v>19</v>
      </c>
      <c r="B27" s="181" t="s">
        <v>193</v>
      </c>
      <c r="C27" s="582" t="s">
        <v>293</v>
      </c>
      <c r="D27" s="583"/>
    </row>
    <row r="28" spans="1:4" ht="15.75" customHeight="1" thickBot="1" x14ac:dyDescent="0.3">
      <c r="A28" s="182"/>
      <c r="B28" s="182"/>
      <c r="C28" s="182"/>
      <c r="D28" s="182"/>
    </row>
    <row r="29" spans="1:4" ht="15.75" thickBot="1" x14ac:dyDescent="0.3">
      <c r="A29" s="592" t="s">
        <v>190</v>
      </c>
      <c r="B29" s="593"/>
      <c r="C29" s="596">
        <f>COUNTIF(C9:D27,"SI")</f>
        <v>17</v>
      </c>
      <c r="D29" s="597"/>
    </row>
    <row r="30" spans="1:4" x14ac:dyDescent="0.25">
      <c r="A30" s="183" t="s">
        <v>192</v>
      </c>
      <c r="B30" s="183" t="s">
        <v>191</v>
      </c>
      <c r="C30" s="182"/>
      <c r="D30" s="182"/>
    </row>
    <row r="31" spans="1:4" x14ac:dyDescent="0.25">
      <c r="A31" s="184">
        <v>3</v>
      </c>
      <c r="B31" s="185" t="s">
        <v>189</v>
      </c>
      <c r="C31" s="182"/>
      <c r="D31" s="182"/>
    </row>
    <row r="32" spans="1:4" x14ac:dyDescent="0.25">
      <c r="A32" s="184">
        <v>4</v>
      </c>
      <c r="B32" s="185" t="s">
        <v>188</v>
      </c>
      <c r="C32" s="182"/>
      <c r="D32" s="182"/>
    </row>
    <row r="33" spans="1:7" ht="16.5" x14ac:dyDescent="0.25">
      <c r="A33" s="184">
        <v>5</v>
      </c>
      <c r="B33" s="185" t="s">
        <v>187</v>
      </c>
      <c r="C33" s="182"/>
      <c r="D33" s="182"/>
      <c r="F33" s="2"/>
    </row>
    <row r="34" spans="1:7" ht="16.5" x14ac:dyDescent="0.25">
      <c r="B34" s="2"/>
      <c r="F34" s="2"/>
      <c r="G34" s="130"/>
    </row>
    <row r="35" spans="1:7" ht="16.5" x14ac:dyDescent="0.25">
      <c r="A35" s="15" t="s">
        <v>292</v>
      </c>
      <c r="B35" s="2"/>
      <c r="F35" s="2"/>
      <c r="G35" s="130"/>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600-000000000000}">
          <x14:formula1>
            <xm:f>Listas!$B$48:$B$49</xm:f>
          </x14:formula1>
          <xm:sqref>C9:D27</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CU140"/>
  <sheetViews>
    <sheetView zoomScale="30" zoomScaleNormal="30" workbookViewId="0"/>
  </sheetViews>
  <sheetFormatPr baseColWidth="10" defaultColWidth="11.42578125"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598" t="s">
        <v>127</v>
      </c>
      <c r="C2" s="598"/>
      <c r="D2" s="598"/>
      <c r="E2" s="598"/>
      <c r="F2" s="598"/>
      <c r="G2" s="598"/>
      <c r="H2" s="598"/>
      <c r="I2" s="598"/>
      <c r="J2" s="635" t="s">
        <v>1</v>
      </c>
      <c r="K2" s="635"/>
      <c r="L2" s="635"/>
      <c r="M2" s="635"/>
      <c r="N2" s="635"/>
      <c r="O2" s="635"/>
      <c r="P2" s="635"/>
      <c r="Q2" s="635"/>
      <c r="R2" s="635"/>
      <c r="S2" s="635"/>
      <c r="T2" s="635"/>
      <c r="U2" s="635"/>
      <c r="V2" s="635"/>
      <c r="W2" s="635"/>
      <c r="X2" s="635"/>
      <c r="Y2" s="635"/>
      <c r="Z2" s="635"/>
      <c r="AA2" s="635"/>
      <c r="AB2" s="635"/>
      <c r="AC2" s="635"/>
      <c r="AD2" s="635"/>
      <c r="AE2" s="635"/>
      <c r="AF2" s="635"/>
      <c r="AG2" s="635"/>
      <c r="AH2" s="635"/>
      <c r="AI2" s="635"/>
      <c r="AJ2" s="635"/>
      <c r="AK2" s="635"/>
      <c r="AL2" s="635"/>
      <c r="AM2" s="63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598"/>
      <c r="C3" s="598"/>
      <c r="D3" s="598"/>
      <c r="E3" s="598"/>
      <c r="F3" s="598"/>
      <c r="G3" s="598"/>
      <c r="H3" s="598"/>
      <c r="I3" s="598"/>
      <c r="J3" s="635"/>
      <c r="K3" s="635"/>
      <c r="L3" s="635"/>
      <c r="M3" s="635"/>
      <c r="N3" s="635"/>
      <c r="O3" s="635"/>
      <c r="P3" s="635"/>
      <c r="Q3" s="635"/>
      <c r="R3" s="635"/>
      <c r="S3" s="635"/>
      <c r="T3" s="635"/>
      <c r="U3" s="635"/>
      <c r="V3" s="635"/>
      <c r="W3" s="635"/>
      <c r="X3" s="635"/>
      <c r="Y3" s="635"/>
      <c r="Z3" s="635"/>
      <c r="AA3" s="635"/>
      <c r="AB3" s="635"/>
      <c r="AC3" s="635"/>
      <c r="AD3" s="635"/>
      <c r="AE3" s="635"/>
      <c r="AF3" s="635"/>
      <c r="AG3" s="635"/>
      <c r="AH3" s="635"/>
      <c r="AI3" s="635"/>
      <c r="AJ3" s="635"/>
      <c r="AK3" s="635"/>
      <c r="AL3" s="635"/>
      <c r="AM3" s="63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598"/>
      <c r="C4" s="598"/>
      <c r="D4" s="598"/>
      <c r="E4" s="598"/>
      <c r="F4" s="598"/>
      <c r="G4" s="598"/>
      <c r="H4" s="598"/>
      <c r="I4" s="598"/>
      <c r="J4" s="635"/>
      <c r="K4" s="635"/>
      <c r="L4" s="635"/>
      <c r="M4" s="635"/>
      <c r="N4" s="635"/>
      <c r="O4" s="635"/>
      <c r="P4" s="635"/>
      <c r="Q4" s="635"/>
      <c r="R4" s="635"/>
      <c r="S4" s="635"/>
      <c r="T4" s="635"/>
      <c r="U4" s="635"/>
      <c r="V4" s="635"/>
      <c r="W4" s="635"/>
      <c r="X4" s="635"/>
      <c r="Y4" s="635"/>
      <c r="Z4" s="635"/>
      <c r="AA4" s="635"/>
      <c r="AB4" s="635"/>
      <c r="AC4" s="635"/>
      <c r="AD4" s="635"/>
      <c r="AE4" s="635"/>
      <c r="AF4" s="635"/>
      <c r="AG4" s="635"/>
      <c r="AH4" s="635"/>
      <c r="AI4" s="635"/>
      <c r="AJ4" s="635"/>
      <c r="AK4" s="635"/>
      <c r="AL4" s="635"/>
      <c r="AM4" s="63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646" t="s">
        <v>3</v>
      </c>
      <c r="C6" s="646"/>
      <c r="D6" s="647"/>
      <c r="E6" s="636" t="s">
        <v>100</v>
      </c>
      <c r="F6" s="637"/>
      <c r="G6" s="637"/>
      <c r="H6" s="637"/>
      <c r="I6" s="638"/>
      <c r="J6" s="632" t="e">
        <f>IF(AND(#REF!="Muy Alta",#REF!="Leve"),CONCATENATE("R",#REF!),"")</f>
        <v>#REF!</v>
      </c>
      <c r="K6" s="633"/>
      <c r="L6" s="633" t="e">
        <f>IF(AND(#REF!="Muy Alta",#REF!="Leve"),CONCATENATE("R",#REF!),"")</f>
        <v>#REF!</v>
      </c>
      <c r="M6" s="633"/>
      <c r="N6" s="633" t="e">
        <f>IF(AND(#REF!="Muy Alta",#REF!="Leve"),CONCATENATE("R",#REF!),"")</f>
        <v>#REF!</v>
      </c>
      <c r="O6" s="634"/>
      <c r="P6" s="632" t="e">
        <f>IF(AND(#REF!="Muy Alta",#REF!="Menor"),CONCATENATE("R",#REF!),"")</f>
        <v>#REF!</v>
      </c>
      <c r="Q6" s="633"/>
      <c r="R6" s="633" t="e">
        <f>IF(AND(#REF!="Muy Alta",#REF!="Menor"),CONCATENATE("R",#REF!),"")</f>
        <v>#REF!</v>
      </c>
      <c r="S6" s="633"/>
      <c r="T6" s="633" t="e">
        <f>IF(AND(#REF!="Muy Alta",#REF!="Menor"),CONCATENATE("R",#REF!),"")</f>
        <v>#REF!</v>
      </c>
      <c r="U6" s="634"/>
      <c r="V6" s="632" t="e">
        <f>IF(AND(#REF!="Muy Alta",#REF!="Moderado"),CONCATENATE("R",#REF!),"")</f>
        <v>#REF!</v>
      </c>
      <c r="W6" s="633"/>
      <c r="X6" s="633" t="e">
        <f>IF(AND(#REF!="Muy Alta",#REF!="Moderado"),CONCATENATE("R",#REF!),"")</f>
        <v>#REF!</v>
      </c>
      <c r="Y6" s="633"/>
      <c r="Z6" s="633" t="e">
        <f>IF(AND(#REF!="Muy Alta",#REF!="Moderado"),CONCATENATE("R",#REF!),"")</f>
        <v>#REF!</v>
      </c>
      <c r="AA6" s="634"/>
      <c r="AB6" s="632" t="e">
        <f>IF(AND(#REF!="Muy Alta",#REF!="Mayor"),CONCATENATE("R",#REF!),"")</f>
        <v>#REF!</v>
      </c>
      <c r="AC6" s="633"/>
      <c r="AD6" s="633" t="e">
        <f>IF(AND(#REF!="Muy Alta",#REF!="Mayor"),CONCATENATE("R",#REF!),"")</f>
        <v>#REF!</v>
      </c>
      <c r="AE6" s="633"/>
      <c r="AF6" s="633" t="e">
        <f>IF(AND(#REF!="Muy Alta",#REF!="Mayor"),CONCATENATE("R",#REF!),"")</f>
        <v>#REF!</v>
      </c>
      <c r="AG6" s="634"/>
      <c r="AH6" s="623" t="e">
        <f>IF(AND(#REF!="Muy Alta",#REF!="Catastrófico"),CONCATENATE("R",#REF!),"")</f>
        <v>#REF!</v>
      </c>
      <c r="AI6" s="624"/>
      <c r="AJ6" s="624" t="e">
        <f>IF(AND(#REF!="Muy Alta",#REF!="Catastrófico"),CONCATENATE("R",#REF!),"")</f>
        <v>#REF!</v>
      </c>
      <c r="AK6" s="624"/>
      <c r="AL6" s="624" t="e">
        <f>IF(AND(#REF!="Muy Alta",#REF!="Catastrófico"),CONCATENATE("R",#REF!),"")</f>
        <v>#REF!</v>
      </c>
      <c r="AM6" s="625"/>
      <c r="AO6" s="648" t="s">
        <v>65</v>
      </c>
      <c r="AP6" s="649"/>
      <c r="AQ6" s="649"/>
      <c r="AR6" s="649"/>
      <c r="AS6" s="649"/>
      <c r="AT6" s="65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646"/>
      <c r="C7" s="646"/>
      <c r="D7" s="647"/>
      <c r="E7" s="639"/>
      <c r="F7" s="640"/>
      <c r="G7" s="640"/>
      <c r="H7" s="640"/>
      <c r="I7" s="641"/>
      <c r="J7" s="626"/>
      <c r="K7" s="627"/>
      <c r="L7" s="627"/>
      <c r="M7" s="627"/>
      <c r="N7" s="627"/>
      <c r="O7" s="628"/>
      <c r="P7" s="626"/>
      <c r="Q7" s="627"/>
      <c r="R7" s="627"/>
      <c r="S7" s="627"/>
      <c r="T7" s="627"/>
      <c r="U7" s="628"/>
      <c r="V7" s="626"/>
      <c r="W7" s="627"/>
      <c r="X7" s="627"/>
      <c r="Y7" s="627"/>
      <c r="Z7" s="627"/>
      <c r="AA7" s="628"/>
      <c r="AB7" s="626"/>
      <c r="AC7" s="627"/>
      <c r="AD7" s="627"/>
      <c r="AE7" s="627"/>
      <c r="AF7" s="627"/>
      <c r="AG7" s="628"/>
      <c r="AH7" s="617"/>
      <c r="AI7" s="618"/>
      <c r="AJ7" s="618"/>
      <c r="AK7" s="618"/>
      <c r="AL7" s="618"/>
      <c r="AM7" s="619"/>
      <c r="AN7" s="70"/>
      <c r="AO7" s="651"/>
      <c r="AP7" s="652"/>
      <c r="AQ7" s="652"/>
      <c r="AR7" s="652"/>
      <c r="AS7" s="652"/>
      <c r="AT7" s="653"/>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646"/>
      <c r="C8" s="646"/>
      <c r="D8" s="647"/>
      <c r="E8" s="639"/>
      <c r="F8" s="640"/>
      <c r="G8" s="640"/>
      <c r="H8" s="640"/>
      <c r="I8" s="641"/>
      <c r="J8" s="626" t="e">
        <f>IF(AND(#REF!="Muy Alta",#REF!="Leve"),CONCATENATE("R",#REF!),"")</f>
        <v>#REF!</v>
      </c>
      <c r="K8" s="627"/>
      <c r="L8" s="627" t="e">
        <f>IF(AND(#REF!="Muy Alta",#REF!="Leve"),CONCATENATE("R",#REF!),"")</f>
        <v>#REF!</v>
      </c>
      <c r="M8" s="627"/>
      <c r="N8" s="627" t="e">
        <f>IF(AND(#REF!="Muy Alta",#REF!="Leve"),CONCATENATE("R",#REF!),"")</f>
        <v>#REF!</v>
      </c>
      <c r="O8" s="628"/>
      <c r="P8" s="626" t="e">
        <f>IF(AND(#REF!="Muy Alta",#REF!="Menor"),CONCATENATE("R",#REF!),"")</f>
        <v>#REF!</v>
      </c>
      <c r="Q8" s="627"/>
      <c r="R8" s="627" t="e">
        <f>IF(AND(#REF!="Muy Alta",#REF!="Menor"),CONCATENATE("R",#REF!),"")</f>
        <v>#REF!</v>
      </c>
      <c r="S8" s="627"/>
      <c r="T8" s="627" t="e">
        <f>IF(AND(#REF!="Muy Alta",#REF!="Menor"),CONCATENATE("R",#REF!),"")</f>
        <v>#REF!</v>
      </c>
      <c r="U8" s="628"/>
      <c r="V8" s="626" t="e">
        <f>IF(AND(#REF!="Muy Alta",#REF!="Moderado"),CONCATENATE("R",#REF!),"")</f>
        <v>#REF!</v>
      </c>
      <c r="W8" s="627"/>
      <c r="X8" s="627" t="e">
        <f>IF(AND(#REF!="Muy Alta",#REF!="Moderado"),CONCATENATE("R",#REF!),"")</f>
        <v>#REF!</v>
      </c>
      <c r="Y8" s="627"/>
      <c r="Z8" s="627" t="e">
        <f>IF(AND(#REF!="Muy Alta",#REF!="Moderado"),CONCATENATE("R",#REF!),"")</f>
        <v>#REF!</v>
      </c>
      <c r="AA8" s="628"/>
      <c r="AB8" s="626" t="e">
        <f>IF(AND(#REF!="Muy Alta",#REF!="Mayor"),CONCATENATE("R",#REF!),"")</f>
        <v>#REF!</v>
      </c>
      <c r="AC8" s="627"/>
      <c r="AD8" s="627" t="e">
        <f>IF(AND(#REF!="Muy Alta",#REF!="Mayor"),CONCATENATE("R",#REF!),"")</f>
        <v>#REF!</v>
      </c>
      <c r="AE8" s="627"/>
      <c r="AF8" s="627" t="e">
        <f>IF(AND(#REF!="Muy Alta",#REF!="Mayor"),CONCATENATE("R",#REF!),"")</f>
        <v>#REF!</v>
      </c>
      <c r="AG8" s="628"/>
      <c r="AH8" s="617" t="e">
        <f>IF(AND(#REF!="Muy Alta",#REF!="Catastrófico"),CONCATENATE("R",#REF!),"")</f>
        <v>#REF!</v>
      </c>
      <c r="AI8" s="618"/>
      <c r="AJ8" s="618" t="e">
        <f>IF(AND(#REF!="Muy Alta",#REF!="Catastrófico"),CONCATENATE("R",#REF!),"")</f>
        <v>#REF!</v>
      </c>
      <c r="AK8" s="618"/>
      <c r="AL8" s="618" t="e">
        <f>IF(AND(#REF!="Muy Alta",#REF!="Catastrófico"),CONCATENATE("R",#REF!),"")</f>
        <v>#REF!</v>
      </c>
      <c r="AM8" s="619"/>
      <c r="AN8" s="70"/>
      <c r="AO8" s="651"/>
      <c r="AP8" s="652"/>
      <c r="AQ8" s="652"/>
      <c r="AR8" s="652"/>
      <c r="AS8" s="652"/>
      <c r="AT8" s="653"/>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646"/>
      <c r="C9" s="646"/>
      <c r="D9" s="647"/>
      <c r="E9" s="639"/>
      <c r="F9" s="640"/>
      <c r="G9" s="640"/>
      <c r="H9" s="640"/>
      <c r="I9" s="641"/>
      <c r="J9" s="626"/>
      <c r="K9" s="627"/>
      <c r="L9" s="627"/>
      <c r="M9" s="627"/>
      <c r="N9" s="627"/>
      <c r="O9" s="628"/>
      <c r="P9" s="626"/>
      <c r="Q9" s="627"/>
      <c r="R9" s="627"/>
      <c r="S9" s="627"/>
      <c r="T9" s="627"/>
      <c r="U9" s="628"/>
      <c r="V9" s="626"/>
      <c r="W9" s="627"/>
      <c r="X9" s="627"/>
      <c r="Y9" s="627"/>
      <c r="Z9" s="627"/>
      <c r="AA9" s="628"/>
      <c r="AB9" s="626"/>
      <c r="AC9" s="627"/>
      <c r="AD9" s="627"/>
      <c r="AE9" s="627"/>
      <c r="AF9" s="627"/>
      <c r="AG9" s="628"/>
      <c r="AH9" s="617"/>
      <c r="AI9" s="618"/>
      <c r="AJ9" s="618"/>
      <c r="AK9" s="618"/>
      <c r="AL9" s="618"/>
      <c r="AM9" s="619"/>
      <c r="AN9" s="70"/>
      <c r="AO9" s="651"/>
      <c r="AP9" s="652"/>
      <c r="AQ9" s="652"/>
      <c r="AR9" s="652"/>
      <c r="AS9" s="652"/>
      <c r="AT9" s="653"/>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646"/>
      <c r="C10" s="646"/>
      <c r="D10" s="647"/>
      <c r="E10" s="639"/>
      <c r="F10" s="640"/>
      <c r="G10" s="640"/>
      <c r="H10" s="640"/>
      <c r="I10" s="641"/>
      <c r="J10" s="626" t="e">
        <f>IF(AND(#REF!="Muy Alta",#REF!="Leve"),CONCATENATE("R",#REF!),"")</f>
        <v>#REF!</v>
      </c>
      <c r="K10" s="627"/>
      <c r="L10" s="627" t="e">
        <f>IF(AND(#REF!="Muy Alta",#REF!="Leve"),CONCATENATE("R",#REF!),"")</f>
        <v>#REF!</v>
      </c>
      <c r="M10" s="627"/>
      <c r="N10" s="627" t="e">
        <f>IF(AND(#REF!="Muy Alta",#REF!="Leve"),CONCATENATE("R",#REF!),"")</f>
        <v>#REF!</v>
      </c>
      <c r="O10" s="628"/>
      <c r="P10" s="626" t="e">
        <f>IF(AND(#REF!="Muy Alta",#REF!="Menor"),CONCATENATE("R",#REF!),"")</f>
        <v>#REF!</v>
      </c>
      <c r="Q10" s="627"/>
      <c r="R10" s="627" t="e">
        <f>IF(AND(#REF!="Muy Alta",#REF!="Menor"),CONCATENATE("R",#REF!),"")</f>
        <v>#REF!</v>
      </c>
      <c r="S10" s="627"/>
      <c r="T10" s="627" t="e">
        <f>IF(AND(#REF!="Muy Alta",#REF!="Menor"),CONCATENATE("R",#REF!),"")</f>
        <v>#REF!</v>
      </c>
      <c r="U10" s="628"/>
      <c r="V10" s="626" t="e">
        <f>IF(AND(#REF!="Muy Alta",#REF!="Moderado"),CONCATENATE("R",#REF!),"")</f>
        <v>#REF!</v>
      </c>
      <c r="W10" s="627"/>
      <c r="X10" s="627" t="e">
        <f>IF(AND(#REF!="Muy Alta",#REF!="Moderado"),CONCATENATE("R",#REF!),"")</f>
        <v>#REF!</v>
      </c>
      <c r="Y10" s="627"/>
      <c r="Z10" s="627" t="e">
        <f>IF(AND(#REF!="Muy Alta",#REF!="Moderado"),CONCATENATE("R",#REF!),"")</f>
        <v>#REF!</v>
      </c>
      <c r="AA10" s="628"/>
      <c r="AB10" s="626" t="e">
        <f>IF(AND(#REF!="Muy Alta",#REF!="Mayor"),CONCATENATE("R",#REF!),"")</f>
        <v>#REF!</v>
      </c>
      <c r="AC10" s="627"/>
      <c r="AD10" s="627" t="e">
        <f>IF(AND(#REF!="Muy Alta",#REF!="Mayor"),CONCATENATE("R",#REF!),"")</f>
        <v>#REF!</v>
      </c>
      <c r="AE10" s="627"/>
      <c r="AF10" s="627" t="e">
        <f>IF(AND(#REF!="Muy Alta",#REF!="Mayor"),CONCATENATE("R",#REF!),"")</f>
        <v>#REF!</v>
      </c>
      <c r="AG10" s="628"/>
      <c r="AH10" s="617" t="e">
        <f>IF(AND(#REF!="Muy Alta",#REF!="Catastrófico"),CONCATENATE("R",#REF!),"")</f>
        <v>#REF!</v>
      </c>
      <c r="AI10" s="618"/>
      <c r="AJ10" s="618" t="e">
        <f>IF(AND(#REF!="Muy Alta",#REF!="Catastrófico"),CONCATENATE("R",#REF!),"")</f>
        <v>#REF!</v>
      </c>
      <c r="AK10" s="618"/>
      <c r="AL10" s="618" t="e">
        <f>IF(AND(#REF!="Muy Alta",#REF!="Catastrófico"),CONCATENATE("R",#REF!),"")</f>
        <v>#REF!</v>
      </c>
      <c r="AM10" s="619"/>
      <c r="AN10" s="70"/>
      <c r="AO10" s="651"/>
      <c r="AP10" s="652"/>
      <c r="AQ10" s="652"/>
      <c r="AR10" s="652"/>
      <c r="AS10" s="652"/>
      <c r="AT10" s="653"/>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646"/>
      <c r="C11" s="646"/>
      <c r="D11" s="647"/>
      <c r="E11" s="639"/>
      <c r="F11" s="640"/>
      <c r="G11" s="640"/>
      <c r="H11" s="640"/>
      <c r="I11" s="641"/>
      <c r="J11" s="626"/>
      <c r="K11" s="627"/>
      <c r="L11" s="627"/>
      <c r="M11" s="627"/>
      <c r="N11" s="627"/>
      <c r="O11" s="628"/>
      <c r="P11" s="626"/>
      <c r="Q11" s="627"/>
      <c r="R11" s="627"/>
      <c r="S11" s="627"/>
      <c r="T11" s="627"/>
      <c r="U11" s="628"/>
      <c r="V11" s="626"/>
      <c r="W11" s="627"/>
      <c r="X11" s="627"/>
      <c r="Y11" s="627"/>
      <c r="Z11" s="627"/>
      <c r="AA11" s="628"/>
      <c r="AB11" s="626"/>
      <c r="AC11" s="627"/>
      <c r="AD11" s="627"/>
      <c r="AE11" s="627"/>
      <c r="AF11" s="627"/>
      <c r="AG11" s="628"/>
      <c r="AH11" s="617"/>
      <c r="AI11" s="618"/>
      <c r="AJ11" s="618"/>
      <c r="AK11" s="618"/>
      <c r="AL11" s="618"/>
      <c r="AM11" s="619"/>
      <c r="AN11" s="70"/>
      <c r="AO11" s="651"/>
      <c r="AP11" s="652"/>
      <c r="AQ11" s="652"/>
      <c r="AR11" s="652"/>
      <c r="AS11" s="652"/>
      <c r="AT11" s="653"/>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646"/>
      <c r="C12" s="646"/>
      <c r="D12" s="647"/>
      <c r="E12" s="639"/>
      <c r="F12" s="640"/>
      <c r="G12" s="640"/>
      <c r="H12" s="640"/>
      <c r="I12" s="641"/>
      <c r="J12" s="626" t="e">
        <f>IF(AND(#REF!="Muy Alta",#REF!="Leve"),CONCATENATE("R",#REF!),"")</f>
        <v>#REF!</v>
      </c>
      <c r="K12" s="627"/>
      <c r="L12" s="627" t="e">
        <f>IF(AND(#REF!="Muy Alta",#REF!="Leve"),CONCATENATE("R",#REF!),"")</f>
        <v>#REF!</v>
      </c>
      <c r="M12" s="627"/>
      <c r="N12" s="627" t="e">
        <f>IF(AND(#REF!="Muy Alta",#REF!="Leve"),CONCATENATE("R",#REF!),"")</f>
        <v>#REF!</v>
      </c>
      <c r="O12" s="628"/>
      <c r="P12" s="626" t="e">
        <f>IF(AND(#REF!="Muy Alta",#REF!="Menor"),CONCATENATE("R",#REF!),"")</f>
        <v>#REF!</v>
      </c>
      <c r="Q12" s="627"/>
      <c r="R12" s="627" t="e">
        <f>IF(AND(#REF!="Muy Alta",#REF!="Menor"),CONCATENATE("R",#REF!),"")</f>
        <v>#REF!</v>
      </c>
      <c r="S12" s="627"/>
      <c r="T12" s="627" t="e">
        <f>IF(AND(#REF!="Muy Alta",#REF!="Menor"),CONCATENATE("R",#REF!),"")</f>
        <v>#REF!</v>
      </c>
      <c r="U12" s="628"/>
      <c r="V12" s="626" t="e">
        <f>IF(AND(#REF!="Muy Alta",#REF!="Moderado"),CONCATENATE("R",#REF!),"")</f>
        <v>#REF!</v>
      </c>
      <c r="W12" s="627"/>
      <c r="X12" s="627" t="e">
        <f>IF(AND(#REF!="Muy Alta",#REF!="Moderado"),CONCATENATE("R",#REF!),"")</f>
        <v>#REF!</v>
      </c>
      <c r="Y12" s="627"/>
      <c r="Z12" s="627" t="e">
        <f>IF(AND(#REF!="Muy Alta",#REF!="Moderado"),CONCATENATE("R",#REF!),"")</f>
        <v>#REF!</v>
      </c>
      <c r="AA12" s="628"/>
      <c r="AB12" s="626" t="e">
        <f>IF(AND(#REF!="Muy Alta",#REF!="Mayor"),CONCATENATE("R",#REF!),"")</f>
        <v>#REF!</v>
      </c>
      <c r="AC12" s="627"/>
      <c r="AD12" s="627" t="e">
        <f>IF(AND(#REF!="Muy Alta",#REF!="Mayor"),CONCATENATE("R",#REF!),"")</f>
        <v>#REF!</v>
      </c>
      <c r="AE12" s="627"/>
      <c r="AF12" s="627" t="e">
        <f>IF(AND(#REF!="Muy Alta",#REF!="Mayor"),CONCATENATE("R",#REF!),"")</f>
        <v>#REF!</v>
      </c>
      <c r="AG12" s="628"/>
      <c r="AH12" s="617" t="e">
        <f>IF(AND(#REF!="Muy Alta",#REF!="Catastrófico"),CONCATENATE("R",#REF!),"")</f>
        <v>#REF!</v>
      </c>
      <c r="AI12" s="618"/>
      <c r="AJ12" s="618" t="e">
        <f>IF(AND(#REF!="Muy Alta",#REF!="Catastrófico"),CONCATENATE("R",#REF!),"")</f>
        <v>#REF!</v>
      </c>
      <c r="AK12" s="618"/>
      <c r="AL12" s="618" t="e">
        <f>IF(AND(#REF!="Muy Alta",#REF!="Catastrófico"),CONCATENATE("R",#REF!),"")</f>
        <v>#REF!</v>
      </c>
      <c r="AM12" s="619"/>
      <c r="AN12" s="70"/>
      <c r="AO12" s="651"/>
      <c r="AP12" s="652"/>
      <c r="AQ12" s="652"/>
      <c r="AR12" s="652"/>
      <c r="AS12" s="652"/>
      <c r="AT12" s="653"/>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646"/>
      <c r="C13" s="646"/>
      <c r="D13" s="647"/>
      <c r="E13" s="642"/>
      <c r="F13" s="643"/>
      <c r="G13" s="643"/>
      <c r="H13" s="643"/>
      <c r="I13" s="644"/>
      <c r="J13" s="626"/>
      <c r="K13" s="627"/>
      <c r="L13" s="627"/>
      <c r="M13" s="627"/>
      <c r="N13" s="627"/>
      <c r="O13" s="628"/>
      <c r="P13" s="626"/>
      <c r="Q13" s="627"/>
      <c r="R13" s="627"/>
      <c r="S13" s="627"/>
      <c r="T13" s="627"/>
      <c r="U13" s="628"/>
      <c r="V13" s="626"/>
      <c r="W13" s="627"/>
      <c r="X13" s="627"/>
      <c r="Y13" s="627"/>
      <c r="Z13" s="627"/>
      <c r="AA13" s="628"/>
      <c r="AB13" s="626"/>
      <c r="AC13" s="627"/>
      <c r="AD13" s="627"/>
      <c r="AE13" s="627"/>
      <c r="AF13" s="627"/>
      <c r="AG13" s="628"/>
      <c r="AH13" s="620"/>
      <c r="AI13" s="621"/>
      <c r="AJ13" s="621"/>
      <c r="AK13" s="621"/>
      <c r="AL13" s="621"/>
      <c r="AM13" s="622"/>
      <c r="AN13" s="70"/>
      <c r="AO13" s="654"/>
      <c r="AP13" s="655"/>
      <c r="AQ13" s="655"/>
      <c r="AR13" s="655"/>
      <c r="AS13" s="655"/>
      <c r="AT13" s="656"/>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646"/>
      <c r="C14" s="646"/>
      <c r="D14" s="647"/>
      <c r="E14" s="636" t="s">
        <v>99</v>
      </c>
      <c r="F14" s="637"/>
      <c r="G14" s="637"/>
      <c r="H14" s="637"/>
      <c r="I14" s="637"/>
      <c r="J14" s="614" t="e">
        <f>IF(AND(#REF!="Alta",#REF!="Leve"),CONCATENATE("R",#REF!),"")</f>
        <v>#REF!</v>
      </c>
      <c r="K14" s="615"/>
      <c r="L14" s="615" t="e">
        <f>IF(AND(#REF!="Alta",#REF!="Leve"),CONCATENATE("R",#REF!),"")</f>
        <v>#REF!</v>
      </c>
      <c r="M14" s="615"/>
      <c r="N14" s="615" t="e">
        <f>IF(AND(#REF!="Alta",#REF!="Leve"),CONCATENATE("R",#REF!),"")</f>
        <v>#REF!</v>
      </c>
      <c r="O14" s="616"/>
      <c r="P14" s="614" t="e">
        <f>IF(AND(#REF!="Alta",#REF!="Menor"),CONCATENATE("R",#REF!),"")</f>
        <v>#REF!</v>
      </c>
      <c r="Q14" s="615"/>
      <c r="R14" s="615" t="e">
        <f>IF(AND(#REF!="Alta",#REF!="Menor"),CONCATENATE("R",#REF!),"")</f>
        <v>#REF!</v>
      </c>
      <c r="S14" s="615"/>
      <c r="T14" s="615" t="e">
        <f>IF(AND(#REF!="Alta",#REF!="Menor"),CONCATENATE("R",#REF!),"")</f>
        <v>#REF!</v>
      </c>
      <c r="U14" s="616"/>
      <c r="V14" s="632" t="e">
        <f>IF(AND(#REF!="Alta",#REF!="Moderado"),CONCATENATE("R",#REF!),"")</f>
        <v>#REF!</v>
      </c>
      <c r="W14" s="633"/>
      <c r="X14" s="633" t="e">
        <f>IF(AND(#REF!="Alta",#REF!="Moderado"),CONCATENATE("R",#REF!),"")</f>
        <v>#REF!</v>
      </c>
      <c r="Y14" s="633"/>
      <c r="Z14" s="633" t="e">
        <f>IF(AND(#REF!="Alta",#REF!="Moderado"),CONCATENATE("R",#REF!),"")</f>
        <v>#REF!</v>
      </c>
      <c r="AA14" s="634"/>
      <c r="AB14" s="632" t="e">
        <f>IF(AND(#REF!="Alta",#REF!="Mayor"),CONCATENATE("R",#REF!),"")</f>
        <v>#REF!</v>
      </c>
      <c r="AC14" s="633"/>
      <c r="AD14" s="633" t="e">
        <f>IF(AND(#REF!="Alta",#REF!="Mayor"),CONCATENATE("R",#REF!),"")</f>
        <v>#REF!</v>
      </c>
      <c r="AE14" s="633"/>
      <c r="AF14" s="633" t="e">
        <f>IF(AND(#REF!="Alta",#REF!="Mayor"),CONCATENATE("R",#REF!),"")</f>
        <v>#REF!</v>
      </c>
      <c r="AG14" s="634"/>
      <c r="AH14" s="623" t="e">
        <f>IF(AND(#REF!="Alta",#REF!="Catastrófico"),CONCATENATE("R",#REF!),"")</f>
        <v>#REF!</v>
      </c>
      <c r="AI14" s="624"/>
      <c r="AJ14" s="624" t="e">
        <f>IF(AND(#REF!="Alta",#REF!="Catastrófico"),CONCATENATE("R",#REF!),"")</f>
        <v>#REF!</v>
      </c>
      <c r="AK14" s="624"/>
      <c r="AL14" s="624" t="e">
        <f>IF(AND(#REF!="Alta",#REF!="Catastrófico"),CONCATENATE("R",#REF!),"")</f>
        <v>#REF!</v>
      </c>
      <c r="AM14" s="625"/>
      <c r="AN14" s="70"/>
      <c r="AO14" s="657" t="s">
        <v>66</v>
      </c>
      <c r="AP14" s="658"/>
      <c r="AQ14" s="658"/>
      <c r="AR14" s="658"/>
      <c r="AS14" s="658"/>
      <c r="AT14" s="659"/>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646"/>
      <c r="C15" s="646"/>
      <c r="D15" s="647"/>
      <c r="E15" s="639"/>
      <c r="F15" s="640"/>
      <c r="G15" s="640"/>
      <c r="H15" s="640"/>
      <c r="I15" s="640"/>
      <c r="J15" s="608"/>
      <c r="K15" s="609"/>
      <c r="L15" s="609"/>
      <c r="M15" s="609"/>
      <c r="N15" s="609"/>
      <c r="O15" s="610"/>
      <c r="P15" s="608"/>
      <c r="Q15" s="609"/>
      <c r="R15" s="609"/>
      <c r="S15" s="609"/>
      <c r="T15" s="609"/>
      <c r="U15" s="610"/>
      <c r="V15" s="626"/>
      <c r="W15" s="627"/>
      <c r="X15" s="627"/>
      <c r="Y15" s="627"/>
      <c r="Z15" s="627"/>
      <c r="AA15" s="628"/>
      <c r="AB15" s="626"/>
      <c r="AC15" s="627"/>
      <c r="AD15" s="627"/>
      <c r="AE15" s="627"/>
      <c r="AF15" s="627"/>
      <c r="AG15" s="628"/>
      <c r="AH15" s="617"/>
      <c r="AI15" s="618"/>
      <c r="AJ15" s="618"/>
      <c r="AK15" s="618"/>
      <c r="AL15" s="618"/>
      <c r="AM15" s="619"/>
      <c r="AN15" s="70"/>
      <c r="AO15" s="660"/>
      <c r="AP15" s="661"/>
      <c r="AQ15" s="661"/>
      <c r="AR15" s="661"/>
      <c r="AS15" s="661"/>
      <c r="AT15" s="662"/>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646"/>
      <c r="C16" s="646"/>
      <c r="D16" s="647"/>
      <c r="E16" s="639"/>
      <c r="F16" s="640"/>
      <c r="G16" s="640"/>
      <c r="H16" s="640"/>
      <c r="I16" s="640"/>
      <c r="J16" s="608" t="e">
        <f>IF(AND(#REF!="Alta",#REF!="Leve"),CONCATENATE("R",#REF!),"")</f>
        <v>#REF!</v>
      </c>
      <c r="K16" s="609"/>
      <c r="L16" s="609" t="e">
        <f>IF(AND(#REF!="Alta",#REF!="Leve"),CONCATENATE("R",#REF!),"")</f>
        <v>#REF!</v>
      </c>
      <c r="M16" s="609"/>
      <c r="N16" s="609" t="e">
        <f>IF(AND(#REF!="Alta",#REF!="Leve"),CONCATENATE("R",#REF!),"")</f>
        <v>#REF!</v>
      </c>
      <c r="O16" s="610"/>
      <c r="P16" s="608" t="e">
        <f>IF(AND(#REF!="Alta",#REF!="Menor"),CONCATENATE("R",#REF!),"")</f>
        <v>#REF!</v>
      </c>
      <c r="Q16" s="609"/>
      <c r="R16" s="609" t="e">
        <f>IF(AND(#REF!="Alta",#REF!="Menor"),CONCATENATE("R",#REF!),"")</f>
        <v>#REF!</v>
      </c>
      <c r="S16" s="609"/>
      <c r="T16" s="609" t="e">
        <f>IF(AND(#REF!="Alta",#REF!="Menor"),CONCATENATE("R",#REF!),"")</f>
        <v>#REF!</v>
      </c>
      <c r="U16" s="610"/>
      <c r="V16" s="626" t="e">
        <f>IF(AND(#REF!="Alta",#REF!="Moderado"),CONCATENATE("R",#REF!),"")</f>
        <v>#REF!</v>
      </c>
      <c r="W16" s="627"/>
      <c r="X16" s="627" t="e">
        <f>IF(AND(#REF!="Alta",#REF!="Moderado"),CONCATENATE("R",#REF!),"")</f>
        <v>#REF!</v>
      </c>
      <c r="Y16" s="627"/>
      <c r="Z16" s="627" t="e">
        <f>IF(AND(#REF!="Alta",#REF!="Moderado"),CONCATENATE("R",#REF!),"")</f>
        <v>#REF!</v>
      </c>
      <c r="AA16" s="628"/>
      <c r="AB16" s="626" t="e">
        <f>IF(AND(#REF!="Alta",#REF!="Mayor"),CONCATENATE("R",#REF!),"")</f>
        <v>#REF!</v>
      </c>
      <c r="AC16" s="627"/>
      <c r="AD16" s="627" t="e">
        <f>IF(AND(#REF!="Alta",#REF!="Mayor"),CONCATENATE("R",#REF!),"")</f>
        <v>#REF!</v>
      </c>
      <c r="AE16" s="627"/>
      <c r="AF16" s="627" t="e">
        <f>IF(AND(#REF!="Alta",#REF!="Mayor"),CONCATENATE("R",#REF!),"")</f>
        <v>#REF!</v>
      </c>
      <c r="AG16" s="628"/>
      <c r="AH16" s="617" t="e">
        <f>IF(AND(#REF!="Alta",#REF!="Catastrófico"),CONCATENATE("R",#REF!),"")</f>
        <v>#REF!</v>
      </c>
      <c r="AI16" s="618"/>
      <c r="AJ16" s="618" t="e">
        <f>IF(AND(#REF!="Alta",#REF!="Catastrófico"),CONCATENATE("R",#REF!),"")</f>
        <v>#REF!</v>
      </c>
      <c r="AK16" s="618"/>
      <c r="AL16" s="618" t="e">
        <f>IF(AND(#REF!="Alta",#REF!="Catastrófico"),CONCATENATE("R",#REF!),"")</f>
        <v>#REF!</v>
      </c>
      <c r="AM16" s="619"/>
      <c r="AN16" s="70"/>
      <c r="AO16" s="660"/>
      <c r="AP16" s="661"/>
      <c r="AQ16" s="661"/>
      <c r="AR16" s="661"/>
      <c r="AS16" s="661"/>
      <c r="AT16" s="662"/>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646"/>
      <c r="C17" s="646"/>
      <c r="D17" s="647"/>
      <c r="E17" s="639"/>
      <c r="F17" s="640"/>
      <c r="G17" s="640"/>
      <c r="H17" s="640"/>
      <c r="I17" s="640"/>
      <c r="J17" s="608"/>
      <c r="K17" s="609"/>
      <c r="L17" s="609"/>
      <c r="M17" s="609"/>
      <c r="N17" s="609"/>
      <c r="O17" s="610"/>
      <c r="P17" s="608"/>
      <c r="Q17" s="609"/>
      <c r="R17" s="609"/>
      <c r="S17" s="609"/>
      <c r="T17" s="609"/>
      <c r="U17" s="610"/>
      <c r="V17" s="626"/>
      <c r="W17" s="627"/>
      <c r="X17" s="627"/>
      <c r="Y17" s="627"/>
      <c r="Z17" s="627"/>
      <c r="AA17" s="628"/>
      <c r="AB17" s="626"/>
      <c r="AC17" s="627"/>
      <c r="AD17" s="627"/>
      <c r="AE17" s="627"/>
      <c r="AF17" s="627"/>
      <c r="AG17" s="628"/>
      <c r="AH17" s="617"/>
      <c r="AI17" s="618"/>
      <c r="AJ17" s="618"/>
      <c r="AK17" s="618"/>
      <c r="AL17" s="618"/>
      <c r="AM17" s="619"/>
      <c r="AN17" s="70"/>
      <c r="AO17" s="660"/>
      <c r="AP17" s="661"/>
      <c r="AQ17" s="661"/>
      <c r="AR17" s="661"/>
      <c r="AS17" s="661"/>
      <c r="AT17" s="662"/>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646"/>
      <c r="C18" s="646"/>
      <c r="D18" s="647"/>
      <c r="E18" s="639"/>
      <c r="F18" s="640"/>
      <c r="G18" s="640"/>
      <c r="H18" s="640"/>
      <c r="I18" s="640"/>
      <c r="J18" s="608" t="e">
        <f>IF(AND(#REF!="Alta",#REF!="Leve"),CONCATENATE("R",#REF!),"")</f>
        <v>#REF!</v>
      </c>
      <c r="K18" s="609"/>
      <c r="L18" s="609" t="e">
        <f>IF(AND(#REF!="Alta",#REF!="Leve"),CONCATENATE("R",#REF!),"")</f>
        <v>#REF!</v>
      </c>
      <c r="M18" s="609"/>
      <c r="N18" s="609" t="e">
        <f>IF(AND(#REF!="Alta",#REF!="Leve"),CONCATENATE("R",#REF!),"")</f>
        <v>#REF!</v>
      </c>
      <c r="O18" s="610"/>
      <c r="P18" s="608" t="e">
        <f>IF(AND(#REF!="Alta",#REF!="Menor"),CONCATENATE("R",#REF!),"")</f>
        <v>#REF!</v>
      </c>
      <c r="Q18" s="609"/>
      <c r="R18" s="609" t="e">
        <f>IF(AND(#REF!="Alta",#REF!="Menor"),CONCATENATE("R",#REF!),"")</f>
        <v>#REF!</v>
      </c>
      <c r="S18" s="609"/>
      <c r="T18" s="609" t="e">
        <f>IF(AND(#REF!="Alta",#REF!="Menor"),CONCATENATE("R",#REF!),"")</f>
        <v>#REF!</v>
      </c>
      <c r="U18" s="610"/>
      <c r="V18" s="626" t="e">
        <f>IF(AND(#REF!="Alta",#REF!="Moderado"),CONCATENATE("R",#REF!),"")</f>
        <v>#REF!</v>
      </c>
      <c r="W18" s="627"/>
      <c r="X18" s="627" t="e">
        <f>IF(AND(#REF!="Alta",#REF!="Moderado"),CONCATENATE("R",#REF!),"")</f>
        <v>#REF!</v>
      </c>
      <c r="Y18" s="627"/>
      <c r="Z18" s="627" t="e">
        <f>IF(AND(#REF!="Alta",#REF!="Moderado"),CONCATENATE("R",#REF!),"")</f>
        <v>#REF!</v>
      </c>
      <c r="AA18" s="628"/>
      <c r="AB18" s="626" t="e">
        <f>IF(AND(#REF!="Alta",#REF!="Mayor"),CONCATENATE("R",#REF!),"")</f>
        <v>#REF!</v>
      </c>
      <c r="AC18" s="627"/>
      <c r="AD18" s="627" t="e">
        <f>IF(AND(#REF!="Alta",#REF!="Mayor"),CONCATENATE("R",#REF!),"")</f>
        <v>#REF!</v>
      </c>
      <c r="AE18" s="627"/>
      <c r="AF18" s="627" t="e">
        <f>IF(AND(#REF!="Alta",#REF!="Mayor"),CONCATENATE("R",#REF!),"")</f>
        <v>#REF!</v>
      </c>
      <c r="AG18" s="628"/>
      <c r="AH18" s="617" t="e">
        <f>IF(AND(#REF!="Alta",#REF!="Catastrófico"),CONCATENATE("R",#REF!),"")</f>
        <v>#REF!</v>
      </c>
      <c r="AI18" s="618"/>
      <c r="AJ18" s="618" t="e">
        <f>IF(AND(#REF!="Alta",#REF!="Catastrófico"),CONCATENATE("R",#REF!),"")</f>
        <v>#REF!</v>
      </c>
      <c r="AK18" s="618"/>
      <c r="AL18" s="618" t="e">
        <f>IF(AND(#REF!="Alta",#REF!="Catastrófico"),CONCATENATE("R",#REF!),"")</f>
        <v>#REF!</v>
      </c>
      <c r="AM18" s="619"/>
      <c r="AN18" s="70"/>
      <c r="AO18" s="660"/>
      <c r="AP18" s="661"/>
      <c r="AQ18" s="661"/>
      <c r="AR18" s="661"/>
      <c r="AS18" s="661"/>
      <c r="AT18" s="662"/>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646"/>
      <c r="C19" s="646"/>
      <c r="D19" s="647"/>
      <c r="E19" s="639"/>
      <c r="F19" s="640"/>
      <c r="G19" s="640"/>
      <c r="H19" s="640"/>
      <c r="I19" s="640"/>
      <c r="J19" s="608"/>
      <c r="K19" s="609"/>
      <c r="L19" s="609"/>
      <c r="M19" s="609"/>
      <c r="N19" s="609"/>
      <c r="O19" s="610"/>
      <c r="P19" s="608"/>
      <c r="Q19" s="609"/>
      <c r="R19" s="609"/>
      <c r="S19" s="609"/>
      <c r="T19" s="609"/>
      <c r="U19" s="610"/>
      <c r="V19" s="626"/>
      <c r="W19" s="627"/>
      <c r="X19" s="627"/>
      <c r="Y19" s="627"/>
      <c r="Z19" s="627"/>
      <c r="AA19" s="628"/>
      <c r="AB19" s="626"/>
      <c r="AC19" s="627"/>
      <c r="AD19" s="627"/>
      <c r="AE19" s="627"/>
      <c r="AF19" s="627"/>
      <c r="AG19" s="628"/>
      <c r="AH19" s="617"/>
      <c r="AI19" s="618"/>
      <c r="AJ19" s="618"/>
      <c r="AK19" s="618"/>
      <c r="AL19" s="618"/>
      <c r="AM19" s="619"/>
      <c r="AN19" s="70"/>
      <c r="AO19" s="660"/>
      <c r="AP19" s="661"/>
      <c r="AQ19" s="661"/>
      <c r="AR19" s="661"/>
      <c r="AS19" s="661"/>
      <c r="AT19" s="662"/>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646"/>
      <c r="C20" s="646"/>
      <c r="D20" s="647"/>
      <c r="E20" s="639"/>
      <c r="F20" s="640"/>
      <c r="G20" s="640"/>
      <c r="H20" s="640"/>
      <c r="I20" s="640"/>
      <c r="J20" s="608" t="e">
        <f>IF(AND(#REF!="Alta",#REF!="Leve"),CONCATENATE("R",#REF!),"")</f>
        <v>#REF!</v>
      </c>
      <c r="K20" s="609"/>
      <c r="L20" s="609" t="e">
        <f>IF(AND(#REF!="Alta",#REF!="Leve"),CONCATENATE("R",#REF!),"")</f>
        <v>#REF!</v>
      </c>
      <c r="M20" s="609"/>
      <c r="N20" s="609" t="e">
        <f>IF(AND(#REF!="Alta",#REF!="Leve"),CONCATENATE("R",#REF!),"")</f>
        <v>#REF!</v>
      </c>
      <c r="O20" s="610"/>
      <c r="P20" s="608" t="e">
        <f>IF(AND(#REF!="Alta",#REF!="Menor"),CONCATENATE("R",#REF!),"")</f>
        <v>#REF!</v>
      </c>
      <c r="Q20" s="609"/>
      <c r="R20" s="609" t="e">
        <f>IF(AND(#REF!="Alta",#REF!="Menor"),CONCATENATE("R",#REF!),"")</f>
        <v>#REF!</v>
      </c>
      <c r="S20" s="609"/>
      <c r="T20" s="609" t="e">
        <f>IF(AND(#REF!="Alta",#REF!="Menor"),CONCATENATE("R",#REF!),"")</f>
        <v>#REF!</v>
      </c>
      <c r="U20" s="610"/>
      <c r="V20" s="626" t="e">
        <f>IF(AND(#REF!="Alta",#REF!="Moderado"),CONCATENATE("R",#REF!),"")</f>
        <v>#REF!</v>
      </c>
      <c r="W20" s="627"/>
      <c r="X20" s="627" t="e">
        <f>IF(AND(#REF!="Alta",#REF!="Moderado"),CONCATENATE("R",#REF!),"")</f>
        <v>#REF!</v>
      </c>
      <c r="Y20" s="627"/>
      <c r="Z20" s="627" t="e">
        <f>IF(AND(#REF!="Alta",#REF!="Moderado"),CONCATENATE("R",#REF!),"")</f>
        <v>#REF!</v>
      </c>
      <c r="AA20" s="628"/>
      <c r="AB20" s="626" t="e">
        <f>IF(AND(#REF!="Alta",#REF!="Mayor"),CONCATENATE("R",#REF!),"")</f>
        <v>#REF!</v>
      </c>
      <c r="AC20" s="627"/>
      <c r="AD20" s="627" t="e">
        <f>IF(AND(#REF!="Alta",#REF!="Mayor"),CONCATENATE("R",#REF!),"")</f>
        <v>#REF!</v>
      </c>
      <c r="AE20" s="627"/>
      <c r="AF20" s="627" t="e">
        <f>IF(AND(#REF!="Alta",#REF!="Mayor"),CONCATENATE("R",#REF!),"")</f>
        <v>#REF!</v>
      </c>
      <c r="AG20" s="628"/>
      <c r="AH20" s="617" t="e">
        <f>IF(AND(#REF!="Alta",#REF!="Catastrófico"),CONCATENATE("R",#REF!),"")</f>
        <v>#REF!</v>
      </c>
      <c r="AI20" s="618"/>
      <c r="AJ20" s="618" t="e">
        <f>IF(AND(#REF!="Alta",#REF!="Catastrófico"),CONCATENATE("R",#REF!),"")</f>
        <v>#REF!</v>
      </c>
      <c r="AK20" s="618"/>
      <c r="AL20" s="618" t="e">
        <f>IF(AND(#REF!="Alta",#REF!="Catastrófico"),CONCATENATE("R",#REF!),"")</f>
        <v>#REF!</v>
      </c>
      <c r="AM20" s="619"/>
      <c r="AN20" s="70"/>
      <c r="AO20" s="660"/>
      <c r="AP20" s="661"/>
      <c r="AQ20" s="661"/>
      <c r="AR20" s="661"/>
      <c r="AS20" s="661"/>
      <c r="AT20" s="662"/>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646"/>
      <c r="C21" s="646"/>
      <c r="D21" s="647"/>
      <c r="E21" s="642"/>
      <c r="F21" s="643"/>
      <c r="G21" s="643"/>
      <c r="H21" s="643"/>
      <c r="I21" s="643"/>
      <c r="J21" s="611"/>
      <c r="K21" s="612"/>
      <c r="L21" s="612"/>
      <c r="M21" s="612"/>
      <c r="N21" s="612"/>
      <c r="O21" s="613"/>
      <c r="P21" s="611"/>
      <c r="Q21" s="612"/>
      <c r="R21" s="612"/>
      <c r="S21" s="612"/>
      <c r="T21" s="612"/>
      <c r="U21" s="613"/>
      <c r="V21" s="629"/>
      <c r="W21" s="630"/>
      <c r="X21" s="630"/>
      <c r="Y21" s="630"/>
      <c r="Z21" s="630"/>
      <c r="AA21" s="631"/>
      <c r="AB21" s="629"/>
      <c r="AC21" s="630"/>
      <c r="AD21" s="630"/>
      <c r="AE21" s="630"/>
      <c r="AF21" s="630"/>
      <c r="AG21" s="631"/>
      <c r="AH21" s="620"/>
      <c r="AI21" s="621"/>
      <c r="AJ21" s="621"/>
      <c r="AK21" s="621"/>
      <c r="AL21" s="621"/>
      <c r="AM21" s="622"/>
      <c r="AN21" s="70"/>
      <c r="AO21" s="663"/>
      <c r="AP21" s="664"/>
      <c r="AQ21" s="664"/>
      <c r="AR21" s="664"/>
      <c r="AS21" s="664"/>
      <c r="AT21" s="665"/>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646"/>
      <c r="C22" s="646"/>
      <c r="D22" s="647"/>
      <c r="E22" s="636" t="s">
        <v>101</v>
      </c>
      <c r="F22" s="637"/>
      <c r="G22" s="637"/>
      <c r="H22" s="637"/>
      <c r="I22" s="638"/>
      <c r="J22" s="614" t="e">
        <f>IF(AND(#REF!="Media",#REF!="Leve"),CONCATENATE("R",#REF!),"")</f>
        <v>#REF!</v>
      </c>
      <c r="K22" s="615"/>
      <c r="L22" s="615" t="e">
        <f>IF(AND(#REF!="Media",#REF!="Leve"),CONCATENATE("R",#REF!),"")</f>
        <v>#REF!</v>
      </c>
      <c r="M22" s="615"/>
      <c r="N22" s="615" t="e">
        <f>IF(AND(#REF!="Media",#REF!="Leve"),CONCATENATE("R",#REF!),"")</f>
        <v>#REF!</v>
      </c>
      <c r="O22" s="616"/>
      <c r="P22" s="614" t="e">
        <f>IF(AND(#REF!="Media",#REF!="Menor"),CONCATENATE("R",#REF!),"")</f>
        <v>#REF!</v>
      </c>
      <c r="Q22" s="615"/>
      <c r="R22" s="615" t="e">
        <f>IF(AND(#REF!="Media",#REF!="Menor"),CONCATENATE("R",#REF!),"")</f>
        <v>#REF!</v>
      </c>
      <c r="S22" s="615"/>
      <c r="T22" s="615" t="e">
        <f>IF(AND(#REF!="Media",#REF!="Menor"),CONCATENATE("R",#REF!),"")</f>
        <v>#REF!</v>
      </c>
      <c r="U22" s="616"/>
      <c r="V22" s="614" t="e">
        <f>IF(AND(#REF!="Media",#REF!="Moderado"),CONCATENATE("R",#REF!),"")</f>
        <v>#REF!</v>
      </c>
      <c r="W22" s="615"/>
      <c r="X22" s="615" t="e">
        <f>IF(AND(#REF!="Media",#REF!="Moderado"),CONCATENATE("R",#REF!),"")</f>
        <v>#REF!</v>
      </c>
      <c r="Y22" s="615"/>
      <c r="Z22" s="615" t="e">
        <f>IF(AND(#REF!="Media",#REF!="Moderado"),CONCATENATE("R",#REF!),"")</f>
        <v>#REF!</v>
      </c>
      <c r="AA22" s="616"/>
      <c r="AB22" s="632" t="e">
        <f>IF(AND(#REF!="Media",#REF!="Mayor"),CONCATENATE("R",#REF!),"")</f>
        <v>#REF!</v>
      </c>
      <c r="AC22" s="633"/>
      <c r="AD22" s="633" t="e">
        <f>IF(AND(#REF!="Media",#REF!="Mayor"),CONCATENATE("R",#REF!),"")</f>
        <v>#REF!</v>
      </c>
      <c r="AE22" s="633"/>
      <c r="AF22" s="633" t="e">
        <f>IF(AND(#REF!="Media",#REF!="Mayor"),CONCATENATE("R",#REF!),"")</f>
        <v>#REF!</v>
      </c>
      <c r="AG22" s="634"/>
      <c r="AH22" s="623" t="e">
        <f>IF(AND(#REF!="Media",#REF!="Catastrófico"),CONCATENATE("R",#REF!),"")</f>
        <v>#REF!</v>
      </c>
      <c r="AI22" s="624"/>
      <c r="AJ22" s="624" t="e">
        <f>IF(AND(#REF!="Media",#REF!="Catastrófico"),CONCATENATE("R",#REF!),"")</f>
        <v>#REF!</v>
      </c>
      <c r="AK22" s="624"/>
      <c r="AL22" s="624" t="e">
        <f>IF(AND(#REF!="Media",#REF!="Catastrófico"),CONCATENATE("R",#REF!),"")</f>
        <v>#REF!</v>
      </c>
      <c r="AM22" s="625"/>
      <c r="AN22" s="70"/>
      <c r="AO22" s="666" t="s">
        <v>67</v>
      </c>
      <c r="AP22" s="667"/>
      <c r="AQ22" s="667"/>
      <c r="AR22" s="667"/>
      <c r="AS22" s="667"/>
      <c r="AT22" s="668"/>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646"/>
      <c r="C23" s="646"/>
      <c r="D23" s="647"/>
      <c r="E23" s="639"/>
      <c r="F23" s="640"/>
      <c r="G23" s="640"/>
      <c r="H23" s="640"/>
      <c r="I23" s="641"/>
      <c r="J23" s="608"/>
      <c r="K23" s="609"/>
      <c r="L23" s="609"/>
      <c r="M23" s="609"/>
      <c r="N23" s="609"/>
      <c r="O23" s="610"/>
      <c r="P23" s="608"/>
      <c r="Q23" s="609"/>
      <c r="R23" s="609"/>
      <c r="S23" s="609"/>
      <c r="T23" s="609"/>
      <c r="U23" s="610"/>
      <c r="V23" s="608"/>
      <c r="W23" s="609"/>
      <c r="X23" s="609"/>
      <c r="Y23" s="609"/>
      <c r="Z23" s="609"/>
      <c r="AA23" s="610"/>
      <c r="AB23" s="626"/>
      <c r="AC23" s="627"/>
      <c r="AD23" s="627"/>
      <c r="AE23" s="627"/>
      <c r="AF23" s="627"/>
      <c r="AG23" s="628"/>
      <c r="AH23" s="617"/>
      <c r="AI23" s="618"/>
      <c r="AJ23" s="618"/>
      <c r="AK23" s="618"/>
      <c r="AL23" s="618"/>
      <c r="AM23" s="619"/>
      <c r="AN23" s="70"/>
      <c r="AO23" s="669"/>
      <c r="AP23" s="670"/>
      <c r="AQ23" s="670"/>
      <c r="AR23" s="670"/>
      <c r="AS23" s="670"/>
      <c r="AT23" s="671"/>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646"/>
      <c r="C24" s="646"/>
      <c r="D24" s="647"/>
      <c r="E24" s="639"/>
      <c r="F24" s="640"/>
      <c r="G24" s="640"/>
      <c r="H24" s="640"/>
      <c r="I24" s="641"/>
      <c r="J24" s="608" t="e">
        <f>IF(AND(#REF!="Media",#REF!="Leve"),CONCATENATE("R",#REF!),"")</f>
        <v>#REF!</v>
      </c>
      <c r="K24" s="609"/>
      <c r="L24" s="609" t="e">
        <f>IF(AND(#REF!="Media",#REF!="Leve"),CONCATENATE("R",#REF!),"")</f>
        <v>#REF!</v>
      </c>
      <c r="M24" s="609"/>
      <c r="N24" s="609" t="e">
        <f>IF(AND(#REF!="Media",#REF!="Leve"),CONCATENATE("R",#REF!),"")</f>
        <v>#REF!</v>
      </c>
      <c r="O24" s="610"/>
      <c r="P24" s="608" t="e">
        <f>IF(AND(#REF!="Media",#REF!="Menor"),CONCATENATE("R",#REF!),"")</f>
        <v>#REF!</v>
      </c>
      <c r="Q24" s="609"/>
      <c r="R24" s="609" t="e">
        <f>IF(AND(#REF!="Media",#REF!="Menor"),CONCATENATE("R",#REF!),"")</f>
        <v>#REF!</v>
      </c>
      <c r="S24" s="609"/>
      <c r="T24" s="609" t="e">
        <f>IF(AND(#REF!="Media",#REF!="Menor"),CONCATENATE("R",#REF!),"")</f>
        <v>#REF!</v>
      </c>
      <c r="U24" s="610"/>
      <c r="V24" s="608" t="e">
        <f>IF(AND(#REF!="Media",#REF!="Moderado"),CONCATENATE("R",#REF!),"")</f>
        <v>#REF!</v>
      </c>
      <c r="W24" s="609"/>
      <c r="X24" s="609" t="e">
        <f>IF(AND(#REF!="Media",#REF!="Moderado"),CONCATENATE("R",#REF!),"")</f>
        <v>#REF!</v>
      </c>
      <c r="Y24" s="609"/>
      <c r="Z24" s="609" t="e">
        <f>IF(AND(#REF!="Media",#REF!="Moderado"),CONCATENATE("R",#REF!),"")</f>
        <v>#REF!</v>
      </c>
      <c r="AA24" s="610"/>
      <c r="AB24" s="626" t="e">
        <f>IF(AND(#REF!="Media",#REF!="Mayor"),CONCATENATE("R",#REF!),"")</f>
        <v>#REF!</v>
      </c>
      <c r="AC24" s="627"/>
      <c r="AD24" s="627" t="e">
        <f>IF(AND(#REF!="Media",#REF!="Mayor"),CONCATENATE("R",#REF!),"")</f>
        <v>#REF!</v>
      </c>
      <c r="AE24" s="627"/>
      <c r="AF24" s="627" t="e">
        <f>IF(AND(#REF!="Media",#REF!="Mayor"),CONCATENATE("R",#REF!),"")</f>
        <v>#REF!</v>
      </c>
      <c r="AG24" s="628"/>
      <c r="AH24" s="617" t="e">
        <f>IF(AND(#REF!="Media",#REF!="Catastrófico"),CONCATENATE("R",#REF!),"")</f>
        <v>#REF!</v>
      </c>
      <c r="AI24" s="618"/>
      <c r="AJ24" s="618" t="e">
        <f>IF(AND(#REF!="Media",#REF!="Catastrófico"),CONCATENATE("R",#REF!),"")</f>
        <v>#REF!</v>
      </c>
      <c r="AK24" s="618"/>
      <c r="AL24" s="618" t="e">
        <f>IF(AND(#REF!="Media",#REF!="Catastrófico"),CONCATENATE("R",#REF!),"")</f>
        <v>#REF!</v>
      </c>
      <c r="AM24" s="619"/>
      <c r="AN24" s="70"/>
      <c r="AO24" s="669"/>
      <c r="AP24" s="670"/>
      <c r="AQ24" s="670"/>
      <c r="AR24" s="670"/>
      <c r="AS24" s="670"/>
      <c r="AT24" s="671"/>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646"/>
      <c r="C25" s="646"/>
      <c r="D25" s="647"/>
      <c r="E25" s="639"/>
      <c r="F25" s="640"/>
      <c r="G25" s="640"/>
      <c r="H25" s="640"/>
      <c r="I25" s="641"/>
      <c r="J25" s="608"/>
      <c r="K25" s="609"/>
      <c r="L25" s="609"/>
      <c r="M25" s="609"/>
      <c r="N25" s="609"/>
      <c r="O25" s="610"/>
      <c r="P25" s="608"/>
      <c r="Q25" s="609"/>
      <c r="R25" s="609"/>
      <c r="S25" s="609"/>
      <c r="T25" s="609"/>
      <c r="U25" s="610"/>
      <c r="V25" s="608"/>
      <c r="W25" s="609"/>
      <c r="X25" s="609"/>
      <c r="Y25" s="609"/>
      <c r="Z25" s="609"/>
      <c r="AA25" s="610"/>
      <c r="AB25" s="626"/>
      <c r="AC25" s="627"/>
      <c r="AD25" s="627"/>
      <c r="AE25" s="627"/>
      <c r="AF25" s="627"/>
      <c r="AG25" s="628"/>
      <c r="AH25" s="617"/>
      <c r="AI25" s="618"/>
      <c r="AJ25" s="618"/>
      <c r="AK25" s="618"/>
      <c r="AL25" s="618"/>
      <c r="AM25" s="619"/>
      <c r="AN25" s="70"/>
      <c r="AO25" s="669"/>
      <c r="AP25" s="670"/>
      <c r="AQ25" s="670"/>
      <c r="AR25" s="670"/>
      <c r="AS25" s="670"/>
      <c r="AT25" s="671"/>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646"/>
      <c r="C26" s="646"/>
      <c r="D26" s="647"/>
      <c r="E26" s="639"/>
      <c r="F26" s="640"/>
      <c r="G26" s="640"/>
      <c r="H26" s="640"/>
      <c r="I26" s="641"/>
      <c r="J26" s="608" t="e">
        <f>IF(AND(#REF!="Media",#REF!="Leve"),CONCATENATE("R",#REF!),"")</f>
        <v>#REF!</v>
      </c>
      <c r="K26" s="609"/>
      <c r="L26" s="609" t="e">
        <f>IF(AND(#REF!="Media",#REF!="Leve"),CONCATENATE("R",#REF!),"")</f>
        <v>#REF!</v>
      </c>
      <c r="M26" s="609"/>
      <c r="N26" s="609" t="e">
        <f>IF(AND(#REF!="Media",#REF!="Leve"),CONCATENATE("R",#REF!),"")</f>
        <v>#REF!</v>
      </c>
      <c r="O26" s="610"/>
      <c r="P26" s="608" t="e">
        <f>IF(AND(#REF!="Media",#REF!="Menor"),CONCATENATE("R",#REF!),"")</f>
        <v>#REF!</v>
      </c>
      <c r="Q26" s="609"/>
      <c r="R26" s="609" t="e">
        <f>IF(AND(#REF!="Media",#REF!="Menor"),CONCATENATE("R",#REF!),"")</f>
        <v>#REF!</v>
      </c>
      <c r="S26" s="609"/>
      <c r="T26" s="609" t="e">
        <f>IF(AND(#REF!="Media",#REF!="Menor"),CONCATENATE("R",#REF!),"")</f>
        <v>#REF!</v>
      </c>
      <c r="U26" s="610"/>
      <c r="V26" s="608" t="e">
        <f>IF(AND(#REF!="Media",#REF!="Moderado"),CONCATENATE("R",#REF!),"")</f>
        <v>#REF!</v>
      </c>
      <c r="W26" s="609"/>
      <c r="X26" s="609" t="e">
        <f>IF(AND(#REF!="Media",#REF!="Moderado"),CONCATENATE("R",#REF!),"")</f>
        <v>#REF!</v>
      </c>
      <c r="Y26" s="609"/>
      <c r="Z26" s="609" t="e">
        <f>IF(AND(#REF!="Media",#REF!="Moderado"),CONCATENATE("R",#REF!),"")</f>
        <v>#REF!</v>
      </c>
      <c r="AA26" s="610"/>
      <c r="AB26" s="626" t="e">
        <f>IF(AND(#REF!="Media",#REF!="Mayor"),CONCATENATE("R",#REF!),"")</f>
        <v>#REF!</v>
      </c>
      <c r="AC26" s="627"/>
      <c r="AD26" s="627" t="e">
        <f>IF(AND(#REF!="Media",#REF!="Mayor"),CONCATENATE("R",#REF!),"")</f>
        <v>#REF!</v>
      </c>
      <c r="AE26" s="627"/>
      <c r="AF26" s="627" t="e">
        <f>IF(AND(#REF!="Media",#REF!="Mayor"),CONCATENATE("R",#REF!),"")</f>
        <v>#REF!</v>
      </c>
      <c r="AG26" s="628"/>
      <c r="AH26" s="617" t="e">
        <f>IF(AND(#REF!="Media",#REF!="Catastrófico"),CONCATENATE("R",#REF!),"")</f>
        <v>#REF!</v>
      </c>
      <c r="AI26" s="618"/>
      <c r="AJ26" s="618" t="e">
        <f>IF(AND(#REF!="Media",#REF!="Catastrófico"),CONCATENATE("R",#REF!),"")</f>
        <v>#REF!</v>
      </c>
      <c r="AK26" s="618"/>
      <c r="AL26" s="618" t="e">
        <f>IF(AND(#REF!="Media",#REF!="Catastrófico"),CONCATENATE("R",#REF!),"")</f>
        <v>#REF!</v>
      </c>
      <c r="AM26" s="619"/>
      <c r="AN26" s="70"/>
      <c r="AO26" s="669"/>
      <c r="AP26" s="670"/>
      <c r="AQ26" s="670"/>
      <c r="AR26" s="670"/>
      <c r="AS26" s="670"/>
      <c r="AT26" s="671"/>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646"/>
      <c r="C27" s="646"/>
      <c r="D27" s="647"/>
      <c r="E27" s="639"/>
      <c r="F27" s="640"/>
      <c r="G27" s="640"/>
      <c r="H27" s="640"/>
      <c r="I27" s="641"/>
      <c r="J27" s="608"/>
      <c r="K27" s="609"/>
      <c r="L27" s="609"/>
      <c r="M27" s="609"/>
      <c r="N27" s="609"/>
      <c r="O27" s="610"/>
      <c r="P27" s="608"/>
      <c r="Q27" s="609"/>
      <c r="R27" s="609"/>
      <c r="S27" s="609"/>
      <c r="T27" s="609"/>
      <c r="U27" s="610"/>
      <c r="V27" s="608"/>
      <c r="W27" s="609"/>
      <c r="X27" s="609"/>
      <c r="Y27" s="609"/>
      <c r="Z27" s="609"/>
      <c r="AA27" s="610"/>
      <c r="AB27" s="626"/>
      <c r="AC27" s="627"/>
      <c r="AD27" s="627"/>
      <c r="AE27" s="627"/>
      <c r="AF27" s="627"/>
      <c r="AG27" s="628"/>
      <c r="AH27" s="617"/>
      <c r="AI27" s="618"/>
      <c r="AJ27" s="618"/>
      <c r="AK27" s="618"/>
      <c r="AL27" s="618"/>
      <c r="AM27" s="619"/>
      <c r="AN27" s="70"/>
      <c r="AO27" s="669"/>
      <c r="AP27" s="670"/>
      <c r="AQ27" s="670"/>
      <c r="AR27" s="670"/>
      <c r="AS27" s="670"/>
      <c r="AT27" s="67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646"/>
      <c r="C28" s="646"/>
      <c r="D28" s="647"/>
      <c r="E28" s="639"/>
      <c r="F28" s="640"/>
      <c r="G28" s="640"/>
      <c r="H28" s="640"/>
      <c r="I28" s="641"/>
      <c r="J28" s="608" t="e">
        <f>IF(AND(#REF!="Media",#REF!="Leve"),CONCATENATE("R",#REF!),"")</f>
        <v>#REF!</v>
      </c>
      <c r="K28" s="609"/>
      <c r="L28" s="609" t="e">
        <f>IF(AND(#REF!="Media",#REF!="Leve"),CONCATENATE("R",#REF!),"")</f>
        <v>#REF!</v>
      </c>
      <c r="M28" s="609"/>
      <c r="N28" s="609" t="e">
        <f>IF(AND(#REF!="Media",#REF!="Leve"),CONCATENATE("R",#REF!),"")</f>
        <v>#REF!</v>
      </c>
      <c r="O28" s="610"/>
      <c r="P28" s="608" t="e">
        <f>IF(AND(#REF!="Media",#REF!="Menor"),CONCATENATE("R",#REF!),"")</f>
        <v>#REF!</v>
      </c>
      <c r="Q28" s="609"/>
      <c r="R28" s="609" t="e">
        <f>IF(AND(#REF!="Media",#REF!="Menor"),CONCATENATE("R",#REF!),"")</f>
        <v>#REF!</v>
      </c>
      <c r="S28" s="609"/>
      <c r="T28" s="609" t="e">
        <f>IF(AND(#REF!="Media",#REF!="Menor"),CONCATENATE("R",#REF!),"")</f>
        <v>#REF!</v>
      </c>
      <c r="U28" s="610"/>
      <c r="V28" s="608" t="e">
        <f>IF(AND(#REF!="Media",#REF!="Moderado"),CONCATENATE("R",#REF!),"")</f>
        <v>#REF!</v>
      </c>
      <c r="W28" s="609"/>
      <c r="X28" s="609" t="e">
        <f>IF(AND(#REF!="Media",#REF!="Moderado"),CONCATENATE("R",#REF!),"")</f>
        <v>#REF!</v>
      </c>
      <c r="Y28" s="609"/>
      <c r="Z28" s="609" t="e">
        <f>IF(AND(#REF!="Media",#REF!="Moderado"),CONCATENATE("R",#REF!),"")</f>
        <v>#REF!</v>
      </c>
      <c r="AA28" s="610"/>
      <c r="AB28" s="626" t="e">
        <f>IF(AND(#REF!="Media",#REF!="Mayor"),CONCATENATE("R",#REF!),"")</f>
        <v>#REF!</v>
      </c>
      <c r="AC28" s="627"/>
      <c r="AD28" s="627" t="e">
        <f>IF(AND(#REF!="Media",#REF!="Mayor"),CONCATENATE("R",#REF!),"")</f>
        <v>#REF!</v>
      </c>
      <c r="AE28" s="627"/>
      <c r="AF28" s="627" t="e">
        <f>IF(AND(#REF!="Media",#REF!="Mayor"),CONCATENATE("R",#REF!),"")</f>
        <v>#REF!</v>
      </c>
      <c r="AG28" s="628"/>
      <c r="AH28" s="617" t="e">
        <f>IF(AND(#REF!="Media",#REF!="Catastrófico"),CONCATENATE("R",#REF!),"")</f>
        <v>#REF!</v>
      </c>
      <c r="AI28" s="618"/>
      <c r="AJ28" s="618" t="e">
        <f>IF(AND(#REF!="Media",#REF!="Catastrófico"),CONCATENATE("R",#REF!),"")</f>
        <v>#REF!</v>
      </c>
      <c r="AK28" s="618"/>
      <c r="AL28" s="618" t="e">
        <f>IF(AND(#REF!="Media",#REF!="Catastrófico"),CONCATENATE("R",#REF!),"")</f>
        <v>#REF!</v>
      </c>
      <c r="AM28" s="619"/>
      <c r="AN28" s="70"/>
      <c r="AO28" s="669"/>
      <c r="AP28" s="670"/>
      <c r="AQ28" s="670"/>
      <c r="AR28" s="670"/>
      <c r="AS28" s="670"/>
      <c r="AT28" s="67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646"/>
      <c r="C29" s="646"/>
      <c r="D29" s="647"/>
      <c r="E29" s="642"/>
      <c r="F29" s="643"/>
      <c r="G29" s="643"/>
      <c r="H29" s="643"/>
      <c r="I29" s="644"/>
      <c r="J29" s="608"/>
      <c r="K29" s="609"/>
      <c r="L29" s="609"/>
      <c r="M29" s="609"/>
      <c r="N29" s="609"/>
      <c r="O29" s="610"/>
      <c r="P29" s="611"/>
      <c r="Q29" s="612"/>
      <c r="R29" s="612"/>
      <c r="S29" s="612"/>
      <c r="T29" s="612"/>
      <c r="U29" s="613"/>
      <c r="V29" s="611"/>
      <c r="W29" s="612"/>
      <c r="X29" s="612"/>
      <c r="Y29" s="612"/>
      <c r="Z29" s="612"/>
      <c r="AA29" s="613"/>
      <c r="AB29" s="629"/>
      <c r="AC29" s="630"/>
      <c r="AD29" s="630"/>
      <c r="AE29" s="630"/>
      <c r="AF29" s="630"/>
      <c r="AG29" s="631"/>
      <c r="AH29" s="620"/>
      <c r="AI29" s="621"/>
      <c r="AJ29" s="621"/>
      <c r="AK29" s="621"/>
      <c r="AL29" s="621"/>
      <c r="AM29" s="622"/>
      <c r="AN29" s="70"/>
      <c r="AO29" s="672"/>
      <c r="AP29" s="673"/>
      <c r="AQ29" s="673"/>
      <c r="AR29" s="673"/>
      <c r="AS29" s="673"/>
      <c r="AT29" s="674"/>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646"/>
      <c r="C30" s="646"/>
      <c r="D30" s="647"/>
      <c r="E30" s="636" t="s">
        <v>98</v>
      </c>
      <c r="F30" s="637"/>
      <c r="G30" s="637"/>
      <c r="H30" s="637"/>
      <c r="I30" s="637"/>
      <c r="J30" s="605" t="e">
        <f>IF(AND(#REF!="Baja",#REF!="Leve"),CONCATENATE("R",#REF!),"")</f>
        <v>#REF!</v>
      </c>
      <c r="K30" s="606"/>
      <c r="L30" s="606" t="e">
        <f>IF(AND(#REF!="Baja",#REF!="Leve"),CONCATENATE("R",#REF!),"")</f>
        <v>#REF!</v>
      </c>
      <c r="M30" s="606"/>
      <c r="N30" s="606" t="e">
        <f>IF(AND(#REF!="Baja",#REF!="Leve"),CONCATENATE("R",#REF!),"")</f>
        <v>#REF!</v>
      </c>
      <c r="O30" s="607"/>
      <c r="P30" s="615" t="e">
        <f>IF(AND(#REF!="Baja",#REF!="Menor"),CONCATENATE("R",#REF!),"")</f>
        <v>#REF!</v>
      </c>
      <c r="Q30" s="615"/>
      <c r="R30" s="615" t="e">
        <f>IF(AND(#REF!="Baja",#REF!="Menor"),CONCATENATE("R",#REF!),"")</f>
        <v>#REF!</v>
      </c>
      <c r="S30" s="615"/>
      <c r="T30" s="615" t="e">
        <f>IF(AND(#REF!="Baja",#REF!="Menor"),CONCATENATE("R",#REF!),"")</f>
        <v>#REF!</v>
      </c>
      <c r="U30" s="616"/>
      <c r="V30" s="614" t="e">
        <f>IF(AND(#REF!="Baja",#REF!="Moderado"),CONCATENATE("R",#REF!),"")</f>
        <v>#REF!</v>
      </c>
      <c r="W30" s="615"/>
      <c r="X30" s="615" t="e">
        <f>IF(AND(#REF!="Baja",#REF!="Moderado"),CONCATENATE("R",#REF!),"")</f>
        <v>#REF!</v>
      </c>
      <c r="Y30" s="615"/>
      <c r="Z30" s="615" t="e">
        <f>IF(AND(#REF!="Baja",#REF!="Moderado"),CONCATENATE("R",#REF!),"")</f>
        <v>#REF!</v>
      </c>
      <c r="AA30" s="616"/>
      <c r="AB30" s="632" t="e">
        <f>IF(AND(#REF!="Baja",#REF!="Mayor"),CONCATENATE("R",#REF!),"")</f>
        <v>#REF!</v>
      </c>
      <c r="AC30" s="633"/>
      <c r="AD30" s="633" t="e">
        <f>IF(AND(#REF!="Baja",#REF!="Mayor"),CONCATENATE("R",#REF!),"")</f>
        <v>#REF!</v>
      </c>
      <c r="AE30" s="633"/>
      <c r="AF30" s="633" t="e">
        <f>IF(AND(#REF!="Baja",#REF!="Mayor"),CONCATENATE("R",#REF!),"")</f>
        <v>#REF!</v>
      </c>
      <c r="AG30" s="634"/>
      <c r="AH30" s="623" t="e">
        <f>IF(AND(#REF!="Baja",#REF!="Catastrófico"),CONCATENATE("R",#REF!),"")</f>
        <v>#REF!</v>
      </c>
      <c r="AI30" s="624"/>
      <c r="AJ30" s="624" t="e">
        <f>IF(AND(#REF!="Baja",#REF!="Catastrófico"),CONCATENATE("R",#REF!),"")</f>
        <v>#REF!</v>
      </c>
      <c r="AK30" s="624"/>
      <c r="AL30" s="624" t="e">
        <f>IF(AND(#REF!="Baja",#REF!="Catastrófico"),CONCATENATE("R",#REF!),"")</f>
        <v>#REF!</v>
      </c>
      <c r="AM30" s="625"/>
      <c r="AN30" s="70"/>
      <c r="AO30" s="675" t="s">
        <v>68</v>
      </c>
      <c r="AP30" s="676"/>
      <c r="AQ30" s="676"/>
      <c r="AR30" s="676"/>
      <c r="AS30" s="676"/>
      <c r="AT30" s="677"/>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646"/>
      <c r="C31" s="646"/>
      <c r="D31" s="647"/>
      <c r="E31" s="639"/>
      <c r="F31" s="640"/>
      <c r="G31" s="640"/>
      <c r="H31" s="640"/>
      <c r="I31" s="640"/>
      <c r="J31" s="599"/>
      <c r="K31" s="600"/>
      <c r="L31" s="600"/>
      <c r="M31" s="600"/>
      <c r="N31" s="600"/>
      <c r="O31" s="601"/>
      <c r="P31" s="609"/>
      <c r="Q31" s="609"/>
      <c r="R31" s="609"/>
      <c r="S31" s="609"/>
      <c r="T31" s="609"/>
      <c r="U31" s="610"/>
      <c r="V31" s="608"/>
      <c r="W31" s="609"/>
      <c r="X31" s="609"/>
      <c r="Y31" s="609"/>
      <c r="Z31" s="609"/>
      <c r="AA31" s="610"/>
      <c r="AB31" s="626"/>
      <c r="AC31" s="627"/>
      <c r="AD31" s="627"/>
      <c r="AE31" s="627"/>
      <c r="AF31" s="627"/>
      <c r="AG31" s="628"/>
      <c r="AH31" s="617"/>
      <c r="AI31" s="618"/>
      <c r="AJ31" s="618"/>
      <c r="AK31" s="618"/>
      <c r="AL31" s="618"/>
      <c r="AM31" s="619"/>
      <c r="AN31" s="70"/>
      <c r="AO31" s="678"/>
      <c r="AP31" s="679"/>
      <c r="AQ31" s="679"/>
      <c r="AR31" s="679"/>
      <c r="AS31" s="679"/>
      <c r="AT31" s="68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646"/>
      <c r="C32" s="646"/>
      <c r="D32" s="647"/>
      <c r="E32" s="639"/>
      <c r="F32" s="640"/>
      <c r="G32" s="640"/>
      <c r="H32" s="640"/>
      <c r="I32" s="640"/>
      <c r="J32" s="599" t="e">
        <f>IF(AND(#REF!="Baja",#REF!="Leve"),CONCATENATE("R",#REF!),"")</f>
        <v>#REF!</v>
      </c>
      <c r="K32" s="600"/>
      <c r="L32" s="600" t="e">
        <f>IF(AND(#REF!="Baja",#REF!="Leve"),CONCATENATE("R",#REF!),"")</f>
        <v>#REF!</v>
      </c>
      <c r="M32" s="600"/>
      <c r="N32" s="600" t="e">
        <f>IF(AND(#REF!="Baja",#REF!="Leve"),CONCATENATE("R",#REF!),"")</f>
        <v>#REF!</v>
      </c>
      <c r="O32" s="601"/>
      <c r="P32" s="609" t="e">
        <f>IF(AND(#REF!="Baja",#REF!="Menor"),CONCATENATE("R",#REF!),"")</f>
        <v>#REF!</v>
      </c>
      <c r="Q32" s="609"/>
      <c r="R32" s="609" t="e">
        <f>IF(AND(#REF!="Baja",#REF!="Menor"),CONCATENATE("R",#REF!),"")</f>
        <v>#REF!</v>
      </c>
      <c r="S32" s="609"/>
      <c r="T32" s="609" t="e">
        <f>IF(AND(#REF!="Baja",#REF!="Menor"),CONCATENATE("R",#REF!),"")</f>
        <v>#REF!</v>
      </c>
      <c r="U32" s="610"/>
      <c r="V32" s="608" t="e">
        <f>IF(AND(#REF!="Baja",#REF!="Moderado"),CONCATENATE("R",#REF!),"")</f>
        <v>#REF!</v>
      </c>
      <c r="W32" s="609"/>
      <c r="X32" s="609" t="e">
        <f>IF(AND(#REF!="Baja",#REF!="Moderado"),CONCATENATE("R",#REF!),"")</f>
        <v>#REF!</v>
      </c>
      <c r="Y32" s="609"/>
      <c r="Z32" s="609" t="e">
        <f>IF(AND(#REF!="Baja",#REF!="Moderado"),CONCATENATE("R",#REF!),"")</f>
        <v>#REF!</v>
      </c>
      <c r="AA32" s="610"/>
      <c r="AB32" s="626" t="e">
        <f>IF(AND(#REF!="Baja",#REF!="Mayor"),CONCATENATE("R",#REF!),"")</f>
        <v>#REF!</v>
      </c>
      <c r="AC32" s="627"/>
      <c r="AD32" s="627" t="e">
        <f>IF(AND(#REF!="Baja",#REF!="Mayor"),CONCATENATE("R",#REF!),"")</f>
        <v>#REF!</v>
      </c>
      <c r="AE32" s="627"/>
      <c r="AF32" s="627" t="e">
        <f>IF(AND(#REF!="Baja",#REF!="Mayor"),CONCATENATE("R",#REF!),"")</f>
        <v>#REF!</v>
      </c>
      <c r="AG32" s="628"/>
      <c r="AH32" s="617" t="e">
        <f>IF(AND(#REF!="Baja",#REF!="Catastrófico"),CONCATENATE("R",#REF!),"")</f>
        <v>#REF!</v>
      </c>
      <c r="AI32" s="618"/>
      <c r="AJ32" s="618" t="e">
        <f>IF(AND(#REF!="Baja",#REF!="Catastrófico"),CONCATENATE("R",#REF!),"")</f>
        <v>#REF!</v>
      </c>
      <c r="AK32" s="618"/>
      <c r="AL32" s="618" t="e">
        <f>IF(AND(#REF!="Baja",#REF!="Catastrófico"),CONCATENATE("R",#REF!),"")</f>
        <v>#REF!</v>
      </c>
      <c r="AM32" s="619"/>
      <c r="AN32" s="70"/>
      <c r="AO32" s="678"/>
      <c r="AP32" s="679"/>
      <c r="AQ32" s="679"/>
      <c r="AR32" s="679"/>
      <c r="AS32" s="679"/>
      <c r="AT32" s="68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646"/>
      <c r="C33" s="646"/>
      <c r="D33" s="647"/>
      <c r="E33" s="639"/>
      <c r="F33" s="640"/>
      <c r="G33" s="640"/>
      <c r="H33" s="640"/>
      <c r="I33" s="640"/>
      <c r="J33" s="599"/>
      <c r="K33" s="600"/>
      <c r="L33" s="600"/>
      <c r="M33" s="600"/>
      <c r="N33" s="600"/>
      <c r="O33" s="601"/>
      <c r="P33" s="609"/>
      <c r="Q33" s="609"/>
      <c r="R33" s="609"/>
      <c r="S33" s="609"/>
      <c r="T33" s="609"/>
      <c r="U33" s="610"/>
      <c r="V33" s="608"/>
      <c r="W33" s="609"/>
      <c r="X33" s="609"/>
      <c r="Y33" s="609"/>
      <c r="Z33" s="609"/>
      <c r="AA33" s="610"/>
      <c r="AB33" s="626"/>
      <c r="AC33" s="627"/>
      <c r="AD33" s="627"/>
      <c r="AE33" s="627"/>
      <c r="AF33" s="627"/>
      <c r="AG33" s="628"/>
      <c r="AH33" s="617"/>
      <c r="AI33" s="618"/>
      <c r="AJ33" s="618"/>
      <c r="AK33" s="618"/>
      <c r="AL33" s="618"/>
      <c r="AM33" s="619"/>
      <c r="AN33" s="70"/>
      <c r="AO33" s="678"/>
      <c r="AP33" s="679"/>
      <c r="AQ33" s="679"/>
      <c r="AR33" s="679"/>
      <c r="AS33" s="679"/>
      <c r="AT33" s="68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646"/>
      <c r="C34" s="646"/>
      <c r="D34" s="647"/>
      <c r="E34" s="639"/>
      <c r="F34" s="640"/>
      <c r="G34" s="640"/>
      <c r="H34" s="640"/>
      <c r="I34" s="640"/>
      <c r="J34" s="599" t="e">
        <f>IF(AND(#REF!="Baja",#REF!="Leve"),CONCATENATE("R",#REF!),"")</f>
        <v>#REF!</v>
      </c>
      <c r="K34" s="600"/>
      <c r="L34" s="600" t="e">
        <f>IF(AND(#REF!="Baja",#REF!="Leve"),CONCATENATE("R",#REF!),"")</f>
        <v>#REF!</v>
      </c>
      <c r="M34" s="600"/>
      <c r="N34" s="600" t="e">
        <f>IF(AND(#REF!="Baja",#REF!="Leve"),CONCATENATE("R",#REF!),"")</f>
        <v>#REF!</v>
      </c>
      <c r="O34" s="601"/>
      <c r="P34" s="609" t="e">
        <f>IF(AND(#REF!="Baja",#REF!="Menor"),CONCATENATE("R",#REF!),"")</f>
        <v>#REF!</v>
      </c>
      <c r="Q34" s="609"/>
      <c r="R34" s="609" t="e">
        <f>IF(AND(#REF!="Baja",#REF!="Menor"),CONCATENATE("R",#REF!),"")</f>
        <v>#REF!</v>
      </c>
      <c r="S34" s="609"/>
      <c r="T34" s="609" t="e">
        <f>IF(AND(#REF!="Baja",#REF!="Menor"),CONCATENATE("R",#REF!),"")</f>
        <v>#REF!</v>
      </c>
      <c r="U34" s="610"/>
      <c r="V34" s="608" t="e">
        <f>IF(AND(#REF!="Baja",#REF!="Moderado"),CONCATENATE("R",#REF!),"")</f>
        <v>#REF!</v>
      </c>
      <c r="W34" s="609"/>
      <c r="X34" s="609" t="e">
        <f>IF(AND(#REF!="Baja",#REF!="Moderado"),CONCATENATE("R",#REF!),"")</f>
        <v>#REF!</v>
      </c>
      <c r="Y34" s="609"/>
      <c r="Z34" s="609" t="e">
        <f>IF(AND(#REF!="Baja",#REF!="Moderado"),CONCATENATE("R",#REF!),"")</f>
        <v>#REF!</v>
      </c>
      <c r="AA34" s="610"/>
      <c r="AB34" s="626" t="e">
        <f>IF(AND(#REF!="Baja",#REF!="Mayor"),CONCATENATE("R",#REF!),"")</f>
        <v>#REF!</v>
      </c>
      <c r="AC34" s="627"/>
      <c r="AD34" s="627" t="e">
        <f>IF(AND(#REF!="Baja",#REF!="Mayor"),CONCATENATE("R",#REF!),"")</f>
        <v>#REF!</v>
      </c>
      <c r="AE34" s="627"/>
      <c r="AF34" s="627" t="e">
        <f>IF(AND(#REF!="Baja",#REF!="Mayor"),CONCATENATE("R",#REF!),"")</f>
        <v>#REF!</v>
      </c>
      <c r="AG34" s="628"/>
      <c r="AH34" s="617" t="e">
        <f>IF(AND(#REF!="Baja",#REF!="Catastrófico"),CONCATENATE("R",#REF!),"")</f>
        <v>#REF!</v>
      </c>
      <c r="AI34" s="618"/>
      <c r="AJ34" s="618" t="e">
        <f>IF(AND(#REF!="Baja",#REF!="Catastrófico"),CONCATENATE("R",#REF!),"")</f>
        <v>#REF!</v>
      </c>
      <c r="AK34" s="618"/>
      <c r="AL34" s="618" t="e">
        <f>IF(AND(#REF!="Baja",#REF!="Catastrófico"),CONCATENATE("R",#REF!),"")</f>
        <v>#REF!</v>
      </c>
      <c r="AM34" s="619"/>
      <c r="AN34" s="70"/>
      <c r="AO34" s="678"/>
      <c r="AP34" s="679"/>
      <c r="AQ34" s="679"/>
      <c r="AR34" s="679"/>
      <c r="AS34" s="679"/>
      <c r="AT34" s="68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646"/>
      <c r="C35" s="646"/>
      <c r="D35" s="647"/>
      <c r="E35" s="639"/>
      <c r="F35" s="640"/>
      <c r="G35" s="640"/>
      <c r="H35" s="640"/>
      <c r="I35" s="640"/>
      <c r="J35" s="599"/>
      <c r="K35" s="600"/>
      <c r="L35" s="600"/>
      <c r="M35" s="600"/>
      <c r="N35" s="600"/>
      <c r="O35" s="601"/>
      <c r="P35" s="609"/>
      <c r="Q35" s="609"/>
      <c r="R35" s="609"/>
      <c r="S35" s="609"/>
      <c r="T35" s="609"/>
      <c r="U35" s="610"/>
      <c r="V35" s="608"/>
      <c r="W35" s="609"/>
      <c r="X35" s="609"/>
      <c r="Y35" s="609"/>
      <c r="Z35" s="609"/>
      <c r="AA35" s="610"/>
      <c r="AB35" s="626"/>
      <c r="AC35" s="627"/>
      <c r="AD35" s="627"/>
      <c r="AE35" s="627"/>
      <c r="AF35" s="627"/>
      <c r="AG35" s="628"/>
      <c r="AH35" s="617"/>
      <c r="AI35" s="618"/>
      <c r="AJ35" s="618"/>
      <c r="AK35" s="618"/>
      <c r="AL35" s="618"/>
      <c r="AM35" s="619"/>
      <c r="AN35" s="70"/>
      <c r="AO35" s="678"/>
      <c r="AP35" s="679"/>
      <c r="AQ35" s="679"/>
      <c r="AR35" s="679"/>
      <c r="AS35" s="679"/>
      <c r="AT35" s="68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646"/>
      <c r="C36" s="646"/>
      <c r="D36" s="647"/>
      <c r="E36" s="639"/>
      <c r="F36" s="640"/>
      <c r="G36" s="640"/>
      <c r="H36" s="640"/>
      <c r="I36" s="640"/>
      <c r="J36" s="599" t="e">
        <f>IF(AND(#REF!="Baja",#REF!="Leve"),CONCATENATE("R",#REF!),"")</f>
        <v>#REF!</v>
      </c>
      <c r="K36" s="600"/>
      <c r="L36" s="600" t="e">
        <f>IF(AND(#REF!="Baja",#REF!="Leve"),CONCATENATE("R",#REF!),"")</f>
        <v>#REF!</v>
      </c>
      <c r="M36" s="600"/>
      <c r="N36" s="600" t="e">
        <f>IF(AND(#REF!="Baja",#REF!="Leve"),CONCATENATE("R",#REF!),"")</f>
        <v>#REF!</v>
      </c>
      <c r="O36" s="601"/>
      <c r="P36" s="609" t="e">
        <f>IF(AND(#REF!="Baja",#REF!="Menor"),CONCATENATE("R",#REF!),"")</f>
        <v>#REF!</v>
      </c>
      <c r="Q36" s="609"/>
      <c r="R36" s="609" t="e">
        <f>IF(AND(#REF!="Baja",#REF!="Menor"),CONCATENATE("R",#REF!),"")</f>
        <v>#REF!</v>
      </c>
      <c r="S36" s="609"/>
      <c r="T36" s="609" t="e">
        <f>IF(AND(#REF!="Baja",#REF!="Menor"),CONCATENATE("R",#REF!),"")</f>
        <v>#REF!</v>
      </c>
      <c r="U36" s="610"/>
      <c r="V36" s="608" t="e">
        <f>IF(AND(#REF!="Baja",#REF!="Moderado"),CONCATENATE("R",#REF!),"")</f>
        <v>#REF!</v>
      </c>
      <c r="W36" s="609"/>
      <c r="X36" s="609" t="e">
        <f>IF(AND(#REF!="Baja",#REF!="Moderado"),CONCATENATE("R",#REF!),"")</f>
        <v>#REF!</v>
      </c>
      <c r="Y36" s="609"/>
      <c r="Z36" s="609" t="e">
        <f>IF(AND(#REF!="Baja",#REF!="Moderado"),CONCATENATE("R",#REF!),"")</f>
        <v>#REF!</v>
      </c>
      <c r="AA36" s="610"/>
      <c r="AB36" s="626" t="e">
        <f>IF(AND(#REF!="Baja",#REF!="Mayor"),CONCATENATE("R",#REF!),"")</f>
        <v>#REF!</v>
      </c>
      <c r="AC36" s="627"/>
      <c r="AD36" s="627" t="e">
        <f>IF(AND(#REF!="Baja",#REF!="Mayor"),CONCATENATE("R",#REF!),"")</f>
        <v>#REF!</v>
      </c>
      <c r="AE36" s="627"/>
      <c r="AF36" s="627" t="e">
        <f>IF(AND(#REF!="Baja",#REF!="Mayor"),CONCATENATE("R",#REF!),"")</f>
        <v>#REF!</v>
      </c>
      <c r="AG36" s="628"/>
      <c r="AH36" s="617" t="e">
        <f>IF(AND(#REF!="Baja",#REF!="Catastrófico"),CONCATENATE("R",#REF!),"")</f>
        <v>#REF!</v>
      </c>
      <c r="AI36" s="618"/>
      <c r="AJ36" s="618" t="e">
        <f>IF(AND(#REF!="Baja",#REF!="Catastrófico"),CONCATENATE("R",#REF!),"")</f>
        <v>#REF!</v>
      </c>
      <c r="AK36" s="618"/>
      <c r="AL36" s="618" t="e">
        <f>IF(AND(#REF!="Baja",#REF!="Catastrófico"),CONCATENATE("R",#REF!),"")</f>
        <v>#REF!</v>
      </c>
      <c r="AM36" s="619"/>
      <c r="AN36" s="70"/>
      <c r="AO36" s="678"/>
      <c r="AP36" s="679"/>
      <c r="AQ36" s="679"/>
      <c r="AR36" s="679"/>
      <c r="AS36" s="679"/>
      <c r="AT36" s="68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646"/>
      <c r="C37" s="646"/>
      <c r="D37" s="647"/>
      <c r="E37" s="642"/>
      <c r="F37" s="643"/>
      <c r="G37" s="643"/>
      <c r="H37" s="643"/>
      <c r="I37" s="643"/>
      <c r="J37" s="602"/>
      <c r="K37" s="603"/>
      <c r="L37" s="603"/>
      <c r="M37" s="603"/>
      <c r="N37" s="603"/>
      <c r="O37" s="604"/>
      <c r="P37" s="612"/>
      <c r="Q37" s="612"/>
      <c r="R37" s="612"/>
      <c r="S37" s="612"/>
      <c r="T37" s="612"/>
      <c r="U37" s="613"/>
      <c r="V37" s="611"/>
      <c r="W37" s="612"/>
      <c r="X37" s="612"/>
      <c r="Y37" s="612"/>
      <c r="Z37" s="612"/>
      <c r="AA37" s="613"/>
      <c r="AB37" s="629"/>
      <c r="AC37" s="630"/>
      <c r="AD37" s="630"/>
      <c r="AE37" s="630"/>
      <c r="AF37" s="630"/>
      <c r="AG37" s="631"/>
      <c r="AH37" s="620"/>
      <c r="AI37" s="621"/>
      <c r="AJ37" s="621"/>
      <c r="AK37" s="621"/>
      <c r="AL37" s="621"/>
      <c r="AM37" s="622"/>
      <c r="AN37" s="70"/>
      <c r="AO37" s="681"/>
      <c r="AP37" s="682"/>
      <c r="AQ37" s="682"/>
      <c r="AR37" s="682"/>
      <c r="AS37" s="682"/>
      <c r="AT37" s="683"/>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646"/>
      <c r="C38" s="646"/>
      <c r="D38" s="647"/>
      <c r="E38" s="636" t="s">
        <v>97</v>
      </c>
      <c r="F38" s="637"/>
      <c r="G38" s="637"/>
      <c r="H38" s="637"/>
      <c r="I38" s="638"/>
      <c r="J38" s="605" t="e">
        <f>IF(AND(#REF!="Muy Baja",#REF!="Leve"),CONCATENATE("R",#REF!),"")</f>
        <v>#REF!</v>
      </c>
      <c r="K38" s="606"/>
      <c r="L38" s="606" t="e">
        <f>IF(AND(#REF!="Muy Baja",#REF!="Leve"),CONCATENATE("R",#REF!),"")</f>
        <v>#REF!</v>
      </c>
      <c r="M38" s="606"/>
      <c r="N38" s="606" t="e">
        <f>IF(AND(#REF!="Muy Baja",#REF!="Leve"),CONCATENATE("R",#REF!),"")</f>
        <v>#REF!</v>
      </c>
      <c r="O38" s="607"/>
      <c r="P38" s="605" t="e">
        <f>IF(AND(#REF!="Muy Baja",#REF!="Menor"),CONCATENATE("R",#REF!),"")</f>
        <v>#REF!</v>
      </c>
      <c r="Q38" s="606"/>
      <c r="R38" s="606" t="e">
        <f>IF(AND(#REF!="Muy Baja",#REF!="Menor"),CONCATENATE("R",#REF!),"")</f>
        <v>#REF!</v>
      </c>
      <c r="S38" s="606"/>
      <c r="T38" s="606" t="e">
        <f>IF(AND(#REF!="Muy Baja",#REF!="Menor"),CONCATENATE("R",#REF!),"")</f>
        <v>#REF!</v>
      </c>
      <c r="U38" s="607"/>
      <c r="V38" s="614" t="e">
        <f>IF(AND(#REF!="Muy Baja",#REF!="Moderado"),CONCATENATE("R",#REF!),"")</f>
        <v>#REF!</v>
      </c>
      <c r="W38" s="615"/>
      <c r="X38" s="615" t="e">
        <f>IF(AND(#REF!="Muy Baja",#REF!="Moderado"),CONCATENATE("R",#REF!),"")</f>
        <v>#REF!</v>
      </c>
      <c r="Y38" s="615"/>
      <c r="Z38" s="615" t="e">
        <f>IF(AND(#REF!="Muy Baja",#REF!="Moderado"),CONCATENATE("R",#REF!),"")</f>
        <v>#REF!</v>
      </c>
      <c r="AA38" s="616"/>
      <c r="AB38" s="632" t="e">
        <f>IF(AND(#REF!="Muy Baja",#REF!="Mayor"),CONCATENATE("R",#REF!),"")</f>
        <v>#REF!</v>
      </c>
      <c r="AC38" s="633"/>
      <c r="AD38" s="633" t="e">
        <f>IF(AND(#REF!="Muy Baja",#REF!="Mayor"),CONCATENATE("R",#REF!),"")</f>
        <v>#REF!</v>
      </c>
      <c r="AE38" s="633"/>
      <c r="AF38" s="633" t="e">
        <f>IF(AND(#REF!="Muy Baja",#REF!="Mayor"),CONCATENATE("R",#REF!),"")</f>
        <v>#REF!</v>
      </c>
      <c r="AG38" s="634"/>
      <c r="AH38" s="623" t="e">
        <f>IF(AND(#REF!="Muy Baja",#REF!="Catastrófico"),CONCATENATE("R",#REF!),"")</f>
        <v>#REF!</v>
      </c>
      <c r="AI38" s="624"/>
      <c r="AJ38" s="624" t="e">
        <f>IF(AND(#REF!="Muy Baja",#REF!="Catastrófico"),CONCATENATE("R",#REF!),"")</f>
        <v>#REF!</v>
      </c>
      <c r="AK38" s="624"/>
      <c r="AL38" s="624" t="e">
        <f>IF(AND(#REF!="Muy Baja",#REF!="Catastrófico"),CONCATENATE("R",#REF!),"")</f>
        <v>#REF!</v>
      </c>
      <c r="AM38" s="625"/>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646"/>
      <c r="C39" s="646"/>
      <c r="D39" s="647"/>
      <c r="E39" s="639"/>
      <c r="F39" s="640"/>
      <c r="G39" s="640"/>
      <c r="H39" s="640"/>
      <c r="I39" s="641"/>
      <c r="J39" s="599"/>
      <c r="K39" s="600"/>
      <c r="L39" s="600"/>
      <c r="M39" s="600"/>
      <c r="N39" s="600"/>
      <c r="O39" s="601"/>
      <c r="P39" s="599"/>
      <c r="Q39" s="600"/>
      <c r="R39" s="600"/>
      <c r="S39" s="600"/>
      <c r="T39" s="600"/>
      <c r="U39" s="601"/>
      <c r="V39" s="608"/>
      <c r="W39" s="609"/>
      <c r="X39" s="609"/>
      <c r="Y39" s="609"/>
      <c r="Z39" s="609"/>
      <c r="AA39" s="610"/>
      <c r="AB39" s="626"/>
      <c r="AC39" s="627"/>
      <c r="AD39" s="627"/>
      <c r="AE39" s="627"/>
      <c r="AF39" s="627"/>
      <c r="AG39" s="628"/>
      <c r="AH39" s="617"/>
      <c r="AI39" s="618"/>
      <c r="AJ39" s="618"/>
      <c r="AK39" s="618"/>
      <c r="AL39" s="618"/>
      <c r="AM39" s="619"/>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646"/>
      <c r="C40" s="646"/>
      <c r="D40" s="647"/>
      <c r="E40" s="639"/>
      <c r="F40" s="640"/>
      <c r="G40" s="640"/>
      <c r="H40" s="640"/>
      <c r="I40" s="641"/>
      <c r="J40" s="599" t="e">
        <f>IF(AND(#REF!="Muy Baja",#REF!="Leve"),CONCATENATE("R",#REF!),"")</f>
        <v>#REF!</v>
      </c>
      <c r="K40" s="600"/>
      <c r="L40" s="600" t="e">
        <f>IF(AND(#REF!="Muy Baja",#REF!="Leve"),CONCATENATE("R",#REF!),"")</f>
        <v>#REF!</v>
      </c>
      <c r="M40" s="600"/>
      <c r="N40" s="600" t="e">
        <f>IF(AND(#REF!="Muy Baja",#REF!="Leve"),CONCATENATE("R",#REF!),"")</f>
        <v>#REF!</v>
      </c>
      <c r="O40" s="601"/>
      <c r="P40" s="599" t="e">
        <f>IF(AND(#REF!="Muy Baja",#REF!="Menor"),CONCATENATE("R",#REF!),"")</f>
        <v>#REF!</v>
      </c>
      <c r="Q40" s="600"/>
      <c r="R40" s="600" t="e">
        <f>IF(AND(#REF!="Muy Baja",#REF!="Menor"),CONCATENATE("R",#REF!),"")</f>
        <v>#REF!</v>
      </c>
      <c r="S40" s="600"/>
      <c r="T40" s="600" t="e">
        <f>IF(AND(#REF!="Muy Baja",#REF!="Menor"),CONCATENATE("R",#REF!),"")</f>
        <v>#REF!</v>
      </c>
      <c r="U40" s="601"/>
      <c r="V40" s="608" t="e">
        <f>IF(AND(#REF!="Muy Baja",#REF!="Moderado"),CONCATENATE("R",#REF!),"")</f>
        <v>#REF!</v>
      </c>
      <c r="W40" s="609"/>
      <c r="X40" s="609" t="e">
        <f>IF(AND(#REF!="Muy Baja",#REF!="Moderado"),CONCATENATE("R",#REF!),"")</f>
        <v>#REF!</v>
      </c>
      <c r="Y40" s="609"/>
      <c r="Z40" s="609" t="e">
        <f>IF(AND(#REF!="Muy Baja",#REF!="Moderado"),CONCATENATE("R",#REF!),"")</f>
        <v>#REF!</v>
      </c>
      <c r="AA40" s="610"/>
      <c r="AB40" s="626" t="e">
        <f>IF(AND(#REF!="Muy Baja",#REF!="Mayor"),CONCATENATE("R",#REF!),"")</f>
        <v>#REF!</v>
      </c>
      <c r="AC40" s="627"/>
      <c r="AD40" s="627" t="e">
        <f>IF(AND(#REF!="Muy Baja",#REF!="Mayor"),CONCATENATE("R",#REF!),"")</f>
        <v>#REF!</v>
      </c>
      <c r="AE40" s="627"/>
      <c r="AF40" s="627" t="e">
        <f>IF(AND(#REF!="Muy Baja",#REF!="Mayor"),CONCATENATE("R",#REF!),"")</f>
        <v>#REF!</v>
      </c>
      <c r="AG40" s="628"/>
      <c r="AH40" s="617" t="e">
        <f>IF(AND(#REF!="Muy Baja",#REF!="Catastrófico"),CONCATENATE("R",#REF!),"")</f>
        <v>#REF!</v>
      </c>
      <c r="AI40" s="618"/>
      <c r="AJ40" s="618" t="e">
        <f>IF(AND(#REF!="Muy Baja",#REF!="Catastrófico"),CONCATENATE("R",#REF!),"")</f>
        <v>#REF!</v>
      </c>
      <c r="AK40" s="618"/>
      <c r="AL40" s="618" t="e">
        <f>IF(AND(#REF!="Muy Baja",#REF!="Catastrófico"),CONCATENATE("R",#REF!),"")</f>
        <v>#REF!</v>
      </c>
      <c r="AM40" s="619"/>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646"/>
      <c r="C41" s="646"/>
      <c r="D41" s="647"/>
      <c r="E41" s="639"/>
      <c r="F41" s="640"/>
      <c r="G41" s="640"/>
      <c r="H41" s="640"/>
      <c r="I41" s="641"/>
      <c r="J41" s="599"/>
      <c r="K41" s="600"/>
      <c r="L41" s="600"/>
      <c r="M41" s="600"/>
      <c r="N41" s="600"/>
      <c r="O41" s="601"/>
      <c r="P41" s="599"/>
      <c r="Q41" s="600"/>
      <c r="R41" s="600"/>
      <c r="S41" s="600"/>
      <c r="T41" s="600"/>
      <c r="U41" s="601"/>
      <c r="V41" s="608"/>
      <c r="W41" s="609"/>
      <c r="X41" s="609"/>
      <c r="Y41" s="609"/>
      <c r="Z41" s="609"/>
      <c r="AA41" s="610"/>
      <c r="AB41" s="626"/>
      <c r="AC41" s="627"/>
      <c r="AD41" s="627"/>
      <c r="AE41" s="627"/>
      <c r="AF41" s="627"/>
      <c r="AG41" s="628"/>
      <c r="AH41" s="617"/>
      <c r="AI41" s="618"/>
      <c r="AJ41" s="618"/>
      <c r="AK41" s="618"/>
      <c r="AL41" s="618"/>
      <c r="AM41" s="619"/>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646"/>
      <c r="C42" s="646"/>
      <c r="D42" s="647"/>
      <c r="E42" s="639"/>
      <c r="F42" s="640"/>
      <c r="G42" s="640"/>
      <c r="H42" s="640"/>
      <c r="I42" s="641"/>
      <c r="J42" s="599" t="e">
        <f>IF(AND(#REF!="Muy Baja",#REF!="Leve"),CONCATENATE("R",#REF!),"")</f>
        <v>#REF!</v>
      </c>
      <c r="K42" s="600"/>
      <c r="L42" s="600" t="e">
        <f>IF(AND(#REF!="Muy Baja",#REF!="Leve"),CONCATENATE("R",#REF!),"")</f>
        <v>#REF!</v>
      </c>
      <c r="M42" s="600"/>
      <c r="N42" s="600" t="e">
        <f>IF(AND(#REF!="Muy Baja",#REF!="Leve"),CONCATENATE("R",#REF!),"")</f>
        <v>#REF!</v>
      </c>
      <c r="O42" s="601"/>
      <c r="P42" s="599" t="e">
        <f>IF(AND(#REF!="Muy Baja",#REF!="Menor"),CONCATENATE("R",#REF!),"")</f>
        <v>#REF!</v>
      </c>
      <c r="Q42" s="600"/>
      <c r="R42" s="600" t="e">
        <f>IF(AND(#REF!="Muy Baja",#REF!="Menor"),CONCATENATE("R",#REF!),"")</f>
        <v>#REF!</v>
      </c>
      <c r="S42" s="600"/>
      <c r="T42" s="600" t="e">
        <f>IF(AND(#REF!="Muy Baja",#REF!="Menor"),CONCATENATE("R",#REF!),"")</f>
        <v>#REF!</v>
      </c>
      <c r="U42" s="601"/>
      <c r="V42" s="608" t="e">
        <f>IF(AND(#REF!="Muy Baja",#REF!="Moderado"),CONCATENATE("R",#REF!),"")</f>
        <v>#REF!</v>
      </c>
      <c r="W42" s="609"/>
      <c r="X42" s="609" t="e">
        <f>IF(AND(#REF!="Muy Baja",#REF!="Moderado"),CONCATENATE("R",#REF!),"")</f>
        <v>#REF!</v>
      </c>
      <c r="Y42" s="609"/>
      <c r="Z42" s="609" t="e">
        <f>IF(AND(#REF!="Muy Baja",#REF!="Moderado"),CONCATENATE("R",#REF!),"")</f>
        <v>#REF!</v>
      </c>
      <c r="AA42" s="610"/>
      <c r="AB42" s="626" t="e">
        <f>IF(AND(#REF!="Muy Baja",#REF!="Mayor"),CONCATENATE("R",#REF!),"")</f>
        <v>#REF!</v>
      </c>
      <c r="AC42" s="627"/>
      <c r="AD42" s="627" t="e">
        <f>IF(AND(#REF!="Muy Baja",#REF!="Mayor"),CONCATENATE("R",#REF!),"")</f>
        <v>#REF!</v>
      </c>
      <c r="AE42" s="627"/>
      <c r="AF42" s="627" t="e">
        <f>IF(AND(#REF!="Muy Baja",#REF!="Mayor"),CONCATENATE("R",#REF!),"")</f>
        <v>#REF!</v>
      </c>
      <c r="AG42" s="628"/>
      <c r="AH42" s="617" t="e">
        <f>IF(AND(#REF!="Muy Baja",#REF!="Catastrófico"),CONCATENATE("R",#REF!),"")</f>
        <v>#REF!</v>
      </c>
      <c r="AI42" s="618"/>
      <c r="AJ42" s="618" t="e">
        <f>IF(AND(#REF!="Muy Baja",#REF!="Catastrófico"),CONCATENATE("R",#REF!),"")</f>
        <v>#REF!</v>
      </c>
      <c r="AK42" s="618"/>
      <c r="AL42" s="618" t="e">
        <f>IF(AND(#REF!="Muy Baja",#REF!="Catastrófico"),CONCATENATE("R",#REF!),"")</f>
        <v>#REF!</v>
      </c>
      <c r="AM42" s="619"/>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646"/>
      <c r="C43" s="646"/>
      <c r="D43" s="647"/>
      <c r="E43" s="639"/>
      <c r="F43" s="640"/>
      <c r="G43" s="640"/>
      <c r="H43" s="640"/>
      <c r="I43" s="641"/>
      <c r="J43" s="599"/>
      <c r="K43" s="600"/>
      <c r="L43" s="600"/>
      <c r="M43" s="600"/>
      <c r="N43" s="600"/>
      <c r="O43" s="601"/>
      <c r="P43" s="599"/>
      <c r="Q43" s="600"/>
      <c r="R43" s="600"/>
      <c r="S43" s="600"/>
      <c r="T43" s="600"/>
      <c r="U43" s="601"/>
      <c r="V43" s="608"/>
      <c r="W43" s="609"/>
      <c r="X43" s="609"/>
      <c r="Y43" s="609"/>
      <c r="Z43" s="609"/>
      <c r="AA43" s="610"/>
      <c r="AB43" s="626"/>
      <c r="AC43" s="627"/>
      <c r="AD43" s="627"/>
      <c r="AE43" s="627"/>
      <c r="AF43" s="627"/>
      <c r="AG43" s="628"/>
      <c r="AH43" s="617"/>
      <c r="AI43" s="618"/>
      <c r="AJ43" s="618"/>
      <c r="AK43" s="618"/>
      <c r="AL43" s="618"/>
      <c r="AM43" s="619"/>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646"/>
      <c r="C44" s="646"/>
      <c r="D44" s="647"/>
      <c r="E44" s="639"/>
      <c r="F44" s="640"/>
      <c r="G44" s="640"/>
      <c r="H44" s="640"/>
      <c r="I44" s="641"/>
      <c r="J44" s="599" t="e">
        <f>IF(AND(#REF!="Muy Baja",#REF!="Leve"),CONCATENATE("R",#REF!),"")</f>
        <v>#REF!</v>
      </c>
      <c r="K44" s="600"/>
      <c r="L44" s="600" t="e">
        <f>IF(AND(#REF!="Muy Baja",#REF!="Leve"),CONCATENATE("R",#REF!),"")</f>
        <v>#REF!</v>
      </c>
      <c r="M44" s="600"/>
      <c r="N44" s="600" t="e">
        <f>IF(AND(#REF!="Muy Baja",#REF!="Leve"),CONCATENATE("R",#REF!),"")</f>
        <v>#REF!</v>
      </c>
      <c r="O44" s="601"/>
      <c r="P44" s="599" t="e">
        <f>IF(AND(#REF!="Muy Baja",#REF!="Menor"),CONCATENATE("R",#REF!),"")</f>
        <v>#REF!</v>
      </c>
      <c r="Q44" s="600"/>
      <c r="R44" s="600" t="e">
        <f>IF(AND(#REF!="Muy Baja",#REF!="Menor"),CONCATENATE("R",#REF!),"")</f>
        <v>#REF!</v>
      </c>
      <c r="S44" s="600"/>
      <c r="T44" s="600" t="e">
        <f>IF(AND(#REF!="Muy Baja",#REF!="Menor"),CONCATENATE("R",#REF!),"")</f>
        <v>#REF!</v>
      </c>
      <c r="U44" s="601"/>
      <c r="V44" s="608" t="e">
        <f>IF(AND(#REF!="Muy Baja",#REF!="Moderado"),CONCATENATE("R",#REF!),"")</f>
        <v>#REF!</v>
      </c>
      <c r="W44" s="609"/>
      <c r="X44" s="609" t="e">
        <f>IF(AND(#REF!="Muy Baja",#REF!="Moderado"),CONCATENATE("R",#REF!),"")</f>
        <v>#REF!</v>
      </c>
      <c r="Y44" s="609"/>
      <c r="Z44" s="609" t="e">
        <f>IF(AND(#REF!="Muy Baja",#REF!="Moderado"),CONCATENATE("R",#REF!),"")</f>
        <v>#REF!</v>
      </c>
      <c r="AA44" s="610"/>
      <c r="AB44" s="626" t="e">
        <f>IF(AND(#REF!="Muy Baja",#REF!="Mayor"),CONCATENATE("R",#REF!),"")</f>
        <v>#REF!</v>
      </c>
      <c r="AC44" s="627"/>
      <c r="AD44" s="627" t="e">
        <f>IF(AND(#REF!="Muy Baja",#REF!="Mayor"),CONCATENATE("R",#REF!),"")</f>
        <v>#REF!</v>
      </c>
      <c r="AE44" s="627"/>
      <c r="AF44" s="627" t="e">
        <f>IF(AND(#REF!="Muy Baja",#REF!="Mayor"),CONCATENATE("R",#REF!),"")</f>
        <v>#REF!</v>
      </c>
      <c r="AG44" s="628"/>
      <c r="AH44" s="617" t="e">
        <f>IF(AND(#REF!="Muy Baja",#REF!="Catastrófico"),CONCATENATE("R",#REF!),"")</f>
        <v>#REF!</v>
      </c>
      <c r="AI44" s="618"/>
      <c r="AJ44" s="618" t="e">
        <f>IF(AND(#REF!="Muy Baja",#REF!="Catastrófico"),CONCATENATE("R",#REF!),"")</f>
        <v>#REF!</v>
      </c>
      <c r="AK44" s="618"/>
      <c r="AL44" s="618" t="e">
        <f>IF(AND(#REF!="Muy Baja",#REF!="Catastrófico"),CONCATENATE("R",#REF!),"")</f>
        <v>#REF!</v>
      </c>
      <c r="AM44" s="619"/>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646"/>
      <c r="C45" s="646"/>
      <c r="D45" s="647"/>
      <c r="E45" s="642"/>
      <c r="F45" s="643"/>
      <c r="G45" s="643"/>
      <c r="H45" s="643"/>
      <c r="I45" s="644"/>
      <c r="J45" s="602"/>
      <c r="K45" s="603"/>
      <c r="L45" s="603"/>
      <c r="M45" s="603"/>
      <c r="N45" s="603"/>
      <c r="O45" s="604"/>
      <c r="P45" s="602"/>
      <c r="Q45" s="603"/>
      <c r="R45" s="603"/>
      <c r="S45" s="603"/>
      <c r="T45" s="603"/>
      <c r="U45" s="604"/>
      <c r="V45" s="611"/>
      <c r="W45" s="612"/>
      <c r="X45" s="612"/>
      <c r="Y45" s="612"/>
      <c r="Z45" s="612"/>
      <c r="AA45" s="613"/>
      <c r="AB45" s="629"/>
      <c r="AC45" s="630"/>
      <c r="AD45" s="630"/>
      <c r="AE45" s="630"/>
      <c r="AF45" s="630"/>
      <c r="AG45" s="631"/>
      <c r="AH45" s="620"/>
      <c r="AI45" s="621"/>
      <c r="AJ45" s="621"/>
      <c r="AK45" s="621"/>
      <c r="AL45" s="621"/>
      <c r="AM45" s="622"/>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636" t="s">
        <v>96</v>
      </c>
      <c r="K46" s="637"/>
      <c r="L46" s="637"/>
      <c r="M46" s="637"/>
      <c r="N46" s="637"/>
      <c r="O46" s="638"/>
      <c r="P46" s="636" t="s">
        <v>95</v>
      </c>
      <c r="Q46" s="637"/>
      <c r="R46" s="637"/>
      <c r="S46" s="637"/>
      <c r="T46" s="637"/>
      <c r="U46" s="638"/>
      <c r="V46" s="636" t="s">
        <v>94</v>
      </c>
      <c r="W46" s="637"/>
      <c r="X46" s="637"/>
      <c r="Y46" s="637"/>
      <c r="Z46" s="637"/>
      <c r="AA46" s="638"/>
      <c r="AB46" s="636" t="s">
        <v>93</v>
      </c>
      <c r="AC46" s="645"/>
      <c r="AD46" s="637"/>
      <c r="AE46" s="637"/>
      <c r="AF46" s="637"/>
      <c r="AG46" s="638"/>
      <c r="AH46" s="636" t="s">
        <v>92</v>
      </c>
      <c r="AI46" s="637"/>
      <c r="AJ46" s="637"/>
      <c r="AK46" s="637"/>
      <c r="AL46" s="637"/>
      <c r="AM46" s="638"/>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639"/>
      <c r="K47" s="640"/>
      <c r="L47" s="640"/>
      <c r="M47" s="640"/>
      <c r="N47" s="640"/>
      <c r="O47" s="641"/>
      <c r="P47" s="639"/>
      <c r="Q47" s="640"/>
      <c r="R47" s="640"/>
      <c r="S47" s="640"/>
      <c r="T47" s="640"/>
      <c r="U47" s="641"/>
      <c r="V47" s="639"/>
      <c r="W47" s="640"/>
      <c r="X47" s="640"/>
      <c r="Y47" s="640"/>
      <c r="Z47" s="640"/>
      <c r="AA47" s="641"/>
      <c r="AB47" s="639"/>
      <c r="AC47" s="640"/>
      <c r="AD47" s="640"/>
      <c r="AE47" s="640"/>
      <c r="AF47" s="640"/>
      <c r="AG47" s="641"/>
      <c r="AH47" s="639"/>
      <c r="AI47" s="640"/>
      <c r="AJ47" s="640"/>
      <c r="AK47" s="640"/>
      <c r="AL47" s="640"/>
      <c r="AM47" s="641"/>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639"/>
      <c r="K48" s="640"/>
      <c r="L48" s="640"/>
      <c r="M48" s="640"/>
      <c r="N48" s="640"/>
      <c r="O48" s="641"/>
      <c r="P48" s="639"/>
      <c r="Q48" s="640"/>
      <c r="R48" s="640"/>
      <c r="S48" s="640"/>
      <c r="T48" s="640"/>
      <c r="U48" s="641"/>
      <c r="V48" s="639"/>
      <c r="W48" s="640"/>
      <c r="X48" s="640"/>
      <c r="Y48" s="640"/>
      <c r="Z48" s="640"/>
      <c r="AA48" s="641"/>
      <c r="AB48" s="639"/>
      <c r="AC48" s="640"/>
      <c r="AD48" s="640"/>
      <c r="AE48" s="640"/>
      <c r="AF48" s="640"/>
      <c r="AG48" s="641"/>
      <c r="AH48" s="639"/>
      <c r="AI48" s="640"/>
      <c r="AJ48" s="640"/>
      <c r="AK48" s="640"/>
      <c r="AL48" s="640"/>
      <c r="AM48" s="641"/>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639"/>
      <c r="K49" s="640"/>
      <c r="L49" s="640"/>
      <c r="M49" s="640"/>
      <c r="N49" s="640"/>
      <c r="O49" s="641"/>
      <c r="P49" s="639"/>
      <c r="Q49" s="640"/>
      <c r="R49" s="640"/>
      <c r="S49" s="640"/>
      <c r="T49" s="640"/>
      <c r="U49" s="641"/>
      <c r="V49" s="639"/>
      <c r="W49" s="640"/>
      <c r="X49" s="640"/>
      <c r="Y49" s="640"/>
      <c r="Z49" s="640"/>
      <c r="AA49" s="641"/>
      <c r="AB49" s="639"/>
      <c r="AC49" s="640"/>
      <c r="AD49" s="640"/>
      <c r="AE49" s="640"/>
      <c r="AF49" s="640"/>
      <c r="AG49" s="641"/>
      <c r="AH49" s="639"/>
      <c r="AI49" s="640"/>
      <c r="AJ49" s="640"/>
      <c r="AK49" s="640"/>
      <c r="AL49" s="640"/>
      <c r="AM49" s="641"/>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639"/>
      <c r="K50" s="640"/>
      <c r="L50" s="640"/>
      <c r="M50" s="640"/>
      <c r="N50" s="640"/>
      <c r="O50" s="641"/>
      <c r="P50" s="639"/>
      <c r="Q50" s="640"/>
      <c r="R50" s="640"/>
      <c r="S50" s="640"/>
      <c r="T50" s="640"/>
      <c r="U50" s="641"/>
      <c r="V50" s="639"/>
      <c r="W50" s="640"/>
      <c r="X50" s="640"/>
      <c r="Y50" s="640"/>
      <c r="Z50" s="640"/>
      <c r="AA50" s="641"/>
      <c r="AB50" s="639"/>
      <c r="AC50" s="640"/>
      <c r="AD50" s="640"/>
      <c r="AE50" s="640"/>
      <c r="AF50" s="640"/>
      <c r="AG50" s="641"/>
      <c r="AH50" s="639"/>
      <c r="AI50" s="640"/>
      <c r="AJ50" s="640"/>
      <c r="AK50" s="640"/>
      <c r="AL50" s="640"/>
      <c r="AM50" s="641"/>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642"/>
      <c r="K51" s="643"/>
      <c r="L51" s="643"/>
      <c r="M51" s="643"/>
      <c r="N51" s="643"/>
      <c r="O51" s="644"/>
      <c r="P51" s="642"/>
      <c r="Q51" s="643"/>
      <c r="R51" s="643"/>
      <c r="S51" s="643"/>
      <c r="T51" s="643"/>
      <c r="U51" s="644"/>
      <c r="V51" s="642"/>
      <c r="W51" s="643"/>
      <c r="X51" s="643"/>
      <c r="Y51" s="643"/>
      <c r="Z51" s="643"/>
      <c r="AA51" s="644"/>
      <c r="AB51" s="642"/>
      <c r="AC51" s="643"/>
      <c r="AD51" s="643"/>
      <c r="AE51" s="643"/>
      <c r="AF51" s="643"/>
      <c r="AG51" s="644"/>
      <c r="AH51" s="642"/>
      <c r="AI51" s="643"/>
      <c r="AJ51" s="643"/>
      <c r="AK51" s="643"/>
      <c r="AL51" s="643"/>
      <c r="AM51" s="644"/>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M248"/>
  <sheetViews>
    <sheetView zoomScale="50" zoomScaleNormal="50" workbookViewId="0">
      <selection activeCell="AS50" sqref="AS50"/>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713" t="s">
        <v>126</v>
      </c>
      <c r="C2" s="714"/>
      <c r="D2" s="714"/>
      <c r="E2" s="714"/>
      <c r="F2" s="714"/>
      <c r="G2" s="714"/>
      <c r="H2" s="714"/>
      <c r="I2" s="714"/>
      <c r="J2" s="635" t="s">
        <v>1</v>
      </c>
      <c r="K2" s="635"/>
      <c r="L2" s="635"/>
      <c r="M2" s="635"/>
      <c r="N2" s="635"/>
      <c r="O2" s="635"/>
      <c r="P2" s="635"/>
      <c r="Q2" s="635"/>
      <c r="R2" s="635"/>
      <c r="S2" s="635"/>
      <c r="T2" s="635"/>
      <c r="U2" s="635"/>
      <c r="V2" s="635"/>
      <c r="W2" s="635"/>
      <c r="X2" s="635"/>
      <c r="Y2" s="635"/>
      <c r="Z2" s="635"/>
      <c r="AA2" s="635"/>
      <c r="AB2" s="635"/>
      <c r="AC2" s="635"/>
      <c r="AD2" s="635"/>
      <c r="AE2" s="635"/>
      <c r="AF2" s="635"/>
      <c r="AG2" s="635"/>
      <c r="AH2" s="635"/>
      <c r="AI2" s="635"/>
      <c r="AJ2" s="635"/>
      <c r="AK2" s="635"/>
      <c r="AL2" s="635"/>
      <c r="AM2" s="63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714"/>
      <c r="C3" s="714"/>
      <c r="D3" s="714"/>
      <c r="E3" s="714"/>
      <c r="F3" s="714"/>
      <c r="G3" s="714"/>
      <c r="H3" s="714"/>
      <c r="I3" s="714"/>
      <c r="J3" s="635"/>
      <c r="K3" s="635"/>
      <c r="L3" s="635"/>
      <c r="M3" s="635"/>
      <c r="N3" s="635"/>
      <c r="O3" s="635"/>
      <c r="P3" s="635"/>
      <c r="Q3" s="635"/>
      <c r="R3" s="635"/>
      <c r="S3" s="635"/>
      <c r="T3" s="635"/>
      <c r="U3" s="635"/>
      <c r="V3" s="635"/>
      <c r="W3" s="635"/>
      <c r="X3" s="635"/>
      <c r="Y3" s="635"/>
      <c r="Z3" s="635"/>
      <c r="AA3" s="635"/>
      <c r="AB3" s="635"/>
      <c r="AC3" s="635"/>
      <c r="AD3" s="635"/>
      <c r="AE3" s="635"/>
      <c r="AF3" s="635"/>
      <c r="AG3" s="635"/>
      <c r="AH3" s="635"/>
      <c r="AI3" s="635"/>
      <c r="AJ3" s="635"/>
      <c r="AK3" s="635"/>
      <c r="AL3" s="635"/>
      <c r="AM3" s="63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714"/>
      <c r="C4" s="714"/>
      <c r="D4" s="714"/>
      <c r="E4" s="714"/>
      <c r="F4" s="714"/>
      <c r="G4" s="714"/>
      <c r="H4" s="714"/>
      <c r="I4" s="714"/>
      <c r="J4" s="635"/>
      <c r="K4" s="635"/>
      <c r="L4" s="635"/>
      <c r="M4" s="635"/>
      <c r="N4" s="635"/>
      <c r="O4" s="635"/>
      <c r="P4" s="635"/>
      <c r="Q4" s="635"/>
      <c r="R4" s="635"/>
      <c r="S4" s="635"/>
      <c r="T4" s="635"/>
      <c r="U4" s="635"/>
      <c r="V4" s="635"/>
      <c r="W4" s="635"/>
      <c r="X4" s="635"/>
      <c r="Y4" s="635"/>
      <c r="Z4" s="635"/>
      <c r="AA4" s="635"/>
      <c r="AB4" s="635"/>
      <c r="AC4" s="635"/>
      <c r="AD4" s="635"/>
      <c r="AE4" s="635"/>
      <c r="AF4" s="635"/>
      <c r="AG4" s="635"/>
      <c r="AH4" s="635"/>
      <c r="AI4" s="635"/>
      <c r="AJ4" s="635"/>
      <c r="AK4" s="635"/>
      <c r="AL4" s="635"/>
      <c r="AM4" s="63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646" t="s">
        <v>3</v>
      </c>
      <c r="C6" s="646"/>
      <c r="D6" s="647"/>
      <c r="E6" s="684" t="s">
        <v>100</v>
      </c>
      <c r="F6" s="685"/>
      <c r="G6" s="685"/>
      <c r="H6" s="685"/>
      <c r="I6" s="686"/>
      <c r="J6" s="33" t="e">
        <f>IF(AND(#REF!="Muy Alta",#REF!="Leve"),CONCATENATE("R1C",#REF!),"")</f>
        <v>#REF!</v>
      </c>
      <c r="K6" s="34" t="e">
        <f>IF(AND(#REF!="Muy Alta",#REF!="Leve"),CONCATENATE("R1C",#REF!),"")</f>
        <v>#REF!</v>
      </c>
      <c r="L6" s="34" t="e">
        <f>IF(AND(#REF!="Muy Alta",#REF!="Leve"),CONCATENATE("R1C",#REF!),"")</f>
        <v>#REF!</v>
      </c>
      <c r="M6" s="34" t="e">
        <f>IF(AND(#REF!="Muy Alta",#REF!="Leve"),CONCATENATE("R1C",#REF!),"")</f>
        <v>#REF!</v>
      </c>
      <c r="N6" s="34" t="e">
        <f>IF(AND(#REF!="Muy Alta",#REF!="Leve"),CONCATENATE("R1C",#REF!),"")</f>
        <v>#REF!</v>
      </c>
      <c r="O6" s="35" t="e">
        <f>IF(AND(#REF!="Muy Alta",#REF!="Leve"),CONCATENATE("R1C",#REF!),"")</f>
        <v>#REF!</v>
      </c>
      <c r="P6" s="33" t="e">
        <f>IF(AND(#REF!="Muy Alta",#REF!="Menor"),CONCATENATE("R1C",#REF!),"")</f>
        <v>#REF!</v>
      </c>
      <c r="Q6" s="34" t="e">
        <f>IF(AND(#REF!="Muy Alta",#REF!="Menor"),CONCATENATE("R1C",#REF!),"")</f>
        <v>#REF!</v>
      </c>
      <c r="R6" s="34" t="e">
        <f>IF(AND(#REF!="Muy Alta",#REF!="Menor"),CONCATENATE("R1C",#REF!),"")</f>
        <v>#REF!</v>
      </c>
      <c r="S6" s="34" t="e">
        <f>IF(AND(#REF!="Muy Alta",#REF!="Menor"),CONCATENATE("R1C",#REF!),"")</f>
        <v>#REF!</v>
      </c>
      <c r="T6" s="34" t="e">
        <f>IF(AND(#REF!="Muy Alta",#REF!="Menor"),CONCATENATE("R1C",#REF!),"")</f>
        <v>#REF!</v>
      </c>
      <c r="U6" s="35" t="e">
        <f>IF(AND(#REF!="Muy Alta",#REF!="Menor"),CONCATENATE("R1C",#REF!),"")</f>
        <v>#REF!</v>
      </c>
      <c r="V6" s="33" t="e">
        <f>IF(AND(#REF!="Muy Alta",#REF!="Moderado"),CONCATENATE("R1C",#REF!),"")</f>
        <v>#REF!</v>
      </c>
      <c r="W6" s="34" t="e">
        <f>IF(AND(#REF!="Muy Alta",#REF!="Moderado"),CONCATENATE("R1C",#REF!),"")</f>
        <v>#REF!</v>
      </c>
      <c r="X6" s="34" t="e">
        <f>IF(AND(#REF!="Muy Alta",#REF!="Moderado"),CONCATENATE("R1C",#REF!),"")</f>
        <v>#REF!</v>
      </c>
      <c r="Y6" s="34" t="e">
        <f>IF(AND(#REF!="Muy Alta",#REF!="Moderado"),CONCATENATE("R1C",#REF!),"")</f>
        <v>#REF!</v>
      </c>
      <c r="Z6" s="34" t="e">
        <f>IF(AND(#REF!="Muy Alta",#REF!="Moderado"),CONCATENATE("R1C",#REF!),"")</f>
        <v>#REF!</v>
      </c>
      <c r="AA6" s="35" t="e">
        <f>IF(AND(#REF!="Muy Alta",#REF!="Moderado"),CONCATENATE("R1C",#REF!),"")</f>
        <v>#REF!</v>
      </c>
      <c r="AB6" s="33" t="e">
        <f>IF(AND(#REF!="Muy Alta",#REF!="Mayor"),CONCATENATE("R1C",#REF!),"")</f>
        <v>#REF!</v>
      </c>
      <c r="AC6" s="34" t="e">
        <f>IF(AND(#REF!="Muy Alta",#REF!="Mayor"),CONCATENATE("R1C",#REF!),"")</f>
        <v>#REF!</v>
      </c>
      <c r="AD6" s="34" t="e">
        <f>IF(AND(#REF!="Muy Alta",#REF!="Mayor"),CONCATENATE("R1C",#REF!),"")</f>
        <v>#REF!</v>
      </c>
      <c r="AE6" s="34" t="e">
        <f>IF(AND(#REF!="Muy Alta",#REF!="Mayor"),CONCATENATE("R1C",#REF!),"")</f>
        <v>#REF!</v>
      </c>
      <c r="AF6" s="34" t="e">
        <f>IF(AND(#REF!="Muy Alta",#REF!="Mayor"),CONCATENATE("R1C",#REF!),"")</f>
        <v>#REF!</v>
      </c>
      <c r="AG6" s="35" t="e">
        <f>IF(AND(#REF!="Muy Alta",#REF!="Mayor"),CONCATENATE("R1C",#REF!),"")</f>
        <v>#REF!</v>
      </c>
      <c r="AH6" s="36" t="e">
        <f>IF(AND(#REF!="Muy Alta",#REF!="Catastrófico"),CONCATENATE("R1C",#REF!),"")</f>
        <v>#REF!</v>
      </c>
      <c r="AI6" s="37" t="e">
        <f>IF(AND(#REF!="Muy Alta",#REF!="Catastrófico"),CONCATENATE("R1C",#REF!),"")</f>
        <v>#REF!</v>
      </c>
      <c r="AJ6" s="37" t="e">
        <f>IF(AND(#REF!="Muy Alta",#REF!="Catastrófico"),CONCATENATE("R1C",#REF!),"")</f>
        <v>#REF!</v>
      </c>
      <c r="AK6" s="37" t="e">
        <f>IF(AND(#REF!="Muy Alta",#REF!="Catastrófico"),CONCATENATE("R1C",#REF!),"")</f>
        <v>#REF!</v>
      </c>
      <c r="AL6" s="37" t="e">
        <f>IF(AND(#REF!="Muy Alta",#REF!="Catastrófico"),CONCATENATE("R1C",#REF!),"")</f>
        <v>#REF!</v>
      </c>
      <c r="AM6" s="38" t="e">
        <f>IF(AND(#REF!="Muy Alta",#REF!="Catastrófico"),CONCATENATE("R1C",#REF!),"")</f>
        <v>#REF!</v>
      </c>
      <c r="AN6" s="70"/>
      <c r="AO6" s="704" t="s">
        <v>65</v>
      </c>
      <c r="AP6" s="705"/>
      <c r="AQ6" s="705"/>
      <c r="AR6" s="705"/>
      <c r="AS6" s="705"/>
      <c r="AT6" s="706"/>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646"/>
      <c r="C7" s="646"/>
      <c r="D7" s="647"/>
      <c r="E7" s="687"/>
      <c r="F7" s="688"/>
      <c r="G7" s="688"/>
      <c r="H7" s="688"/>
      <c r="I7" s="689"/>
      <c r="J7" s="39" t="e">
        <f>IF(AND(#REF!="Muy Alta",#REF!="Leve"),CONCATENATE("R2C",#REF!),"")</f>
        <v>#REF!</v>
      </c>
      <c r="K7" s="40" t="e">
        <f>IF(AND(#REF!="Muy Alta",#REF!="Leve"),CONCATENATE("R2C",#REF!),"")</f>
        <v>#REF!</v>
      </c>
      <c r="L7" s="40" t="e">
        <f>IF(AND(#REF!="Muy Alta",#REF!="Leve"),CONCATENATE("R2C",#REF!),"")</f>
        <v>#REF!</v>
      </c>
      <c r="M7" s="40" t="e">
        <f>IF(AND(#REF!="Muy Alta",#REF!="Leve"),CONCATENATE("R2C",#REF!),"")</f>
        <v>#REF!</v>
      </c>
      <c r="N7" s="40" t="e">
        <f>IF(AND(#REF!="Muy Alta",#REF!="Leve"),CONCATENATE("R2C",#REF!),"")</f>
        <v>#REF!</v>
      </c>
      <c r="O7" s="41" t="e">
        <f>IF(AND(#REF!="Muy Alta",#REF!="Leve"),CONCATENATE("R2C",#REF!),"")</f>
        <v>#REF!</v>
      </c>
      <c r="P7" s="39" t="e">
        <f>IF(AND(#REF!="Muy Alta",#REF!="Menor"),CONCATENATE("R2C",#REF!),"")</f>
        <v>#REF!</v>
      </c>
      <c r="Q7" s="40" t="e">
        <f>IF(AND(#REF!="Muy Alta",#REF!="Menor"),CONCATENATE("R2C",#REF!),"")</f>
        <v>#REF!</v>
      </c>
      <c r="R7" s="40" t="e">
        <f>IF(AND(#REF!="Muy Alta",#REF!="Menor"),CONCATENATE("R2C",#REF!),"")</f>
        <v>#REF!</v>
      </c>
      <c r="S7" s="40" t="e">
        <f>IF(AND(#REF!="Muy Alta",#REF!="Menor"),CONCATENATE("R2C",#REF!),"")</f>
        <v>#REF!</v>
      </c>
      <c r="T7" s="40" t="e">
        <f>IF(AND(#REF!="Muy Alta",#REF!="Menor"),CONCATENATE("R2C",#REF!),"")</f>
        <v>#REF!</v>
      </c>
      <c r="U7" s="41" t="e">
        <f>IF(AND(#REF!="Muy Alta",#REF!="Menor"),CONCATENATE("R2C",#REF!),"")</f>
        <v>#REF!</v>
      </c>
      <c r="V7" s="39" t="e">
        <f>IF(AND(#REF!="Muy Alta",#REF!="Moderado"),CONCATENATE("R2C",#REF!),"")</f>
        <v>#REF!</v>
      </c>
      <c r="W7" s="40" t="e">
        <f>IF(AND(#REF!="Muy Alta",#REF!="Moderado"),CONCATENATE("R2C",#REF!),"")</f>
        <v>#REF!</v>
      </c>
      <c r="X7" s="40" t="e">
        <f>IF(AND(#REF!="Muy Alta",#REF!="Moderado"),CONCATENATE("R2C",#REF!),"")</f>
        <v>#REF!</v>
      </c>
      <c r="Y7" s="40" t="e">
        <f>IF(AND(#REF!="Muy Alta",#REF!="Moderado"),CONCATENATE("R2C",#REF!),"")</f>
        <v>#REF!</v>
      </c>
      <c r="Z7" s="40" t="e">
        <f>IF(AND(#REF!="Muy Alta",#REF!="Moderado"),CONCATENATE("R2C",#REF!),"")</f>
        <v>#REF!</v>
      </c>
      <c r="AA7" s="41" t="e">
        <f>IF(AND(#REF!="Muy Alta",#REF!="Moderado"),CONCATENATE("R2C",#REF!),"")</f>
        <v>#REF!</v>
      </c>
      <c r="AB7" s="39" t="e">
        <f>IF(AND(#REF!="Muy Alta",#REF!="Mayor"),CONCATENATE("R2C",#REF!),"")</f>
        <v>#REF!</v>
      </c>
      <c r="AC7" s="40" t="e">
        <f>IF(AND(#REF!="Muy Alta",#REF!="Mayor"),CONCATENATE("R2C",#REF!),"")</f>
        <v>#REF!</v>
      </c>
      <c r="AD7" s="40" t="e">
        <f>IF(AND(#REF!="Muy Alta",#REF!="Mayor"),CONCATENATE("R2C",#REF!),"")</f>
        <v>#REF!</v>
      </c>
      <c r="AE7" s="40" t="e">
        <f>IF(AND(#REF!="Muy Alta",#REF!="Mayor"),CONCATENATE("R2C",#REF!),"")</f>
        <v>#REF!</v>
      </c>
      <c r="AF7" s="40" t="e">
        <f>IF(AND(#REF!="Muy Alta",#REF!="Mayor"),CONCATENATE("R2C",#REF!),"")</f>
        <v>#REF!</v>
      </c>
      <c r="AG7" s="41" t="e">
        <f>IF(AND(#REF!="Muy Alta",#REF!="Mayor"),CONCATENATE("R2C",#REF!),"")</f>
        <v>#REF!</v>
      </c>
      <c r="AH7" s="42" t="e">
        <f>IF(AND(#REF!="Muy Alta",#REF!="Catastrófico"),CONCATENATE("R2C",#REF!),"")</f>
        <v>#REF!</v>
      </c>
      <c r="AI7" s="43" t="e">
        <f>IF(AND(#REF!="Muy Alta",#REF!="Catastrófico"),CONCATENATE("R2C",#REF!),"")</f>
        <v>#REF!</v>
      </c>
      <c r="AJ7" s="43" t="e">
        <f>IF(AND(#REF!="Muy Alta",#REF!="Catastrófico"),CONCATENATE("R2C",#REF!),"")</f>
        <v>#REF!</v>
      </c>
      <c r="AK7" s="43" t="e">
        <f>IF(AND(#REF!="Muy Alta",#REF!="Catastrófico"),CONCATENATE("R2C",#REF!),"")</f>
        <v>#REF!</v>
      </c>
      <c r="AL7" s="43" t="e">
        <f>IF(AND(#REF!="Muy Alta",#REF!="Catastrófico"),CONCATENATE("R2C",#REF!),"")</f>
        <v>#REF!</v>
      </c>
      <c r="AM7" s="44" t="e">
        <f>IF(AND(#REF!="Muy Alta",#REF!="Catastrófico"),CONCATENATE("R2C",#REF!),"")</f>
        <v>#REF!</v>
      </c>
      <c r="AN7" s="70"/>
      <c r="AO7" s="707"/>
      <c r="AP7" s="708"/>
      <c r="AQ7" s="708"/>
      <c r="AR7" s="708"/>
      <c r="AS7" s="708"/>
      <c r="AT7" s="709"/>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646"/>
      <c r="C8" s="646"/>
      <c r="D8" s="647"/>
      <c r="E8" s="687"/>
      <c r="F8" s="688"/>
      <c r="G8" s="688"/>
      <c r="H8" s="688"/>
      <c r="I8" s="689"/>
      <c r="J8" s="39" t="e">
        <f>IF(AND(#REF!="Muy Alta",#REF!="Leve"),CONCATENATE("R3C",#REF!),"")</f>
        <v>#REF!</v>
      </c>
      <c r="K8" s="40" t="e">
        <f>IF(AND(#REF!="Muy Alta",#REF!="Leve"),CONCATENATE("R3C",#REF!),"")</f>
        <v>#REF!</v>
      </c>
      <c r="L8" s="40" t="e">
        <f>IF(AND(#REF!="Muy Alta",#REF!="Leve"),CONCATENATE("R3C",#REF!),"")</f>
        <v>#REF!</v>
      </c>
      <c r="M8" s="40" t="e">
        <f>IF(AND(#REF!="Muy Alta",#REF!="Leve"),CONCATENATE("R3C",#REF!),"")</f>
        <v>#REF!</v>
      </c>
      <c r="N8" s="40" t="e">
        <f>IF(AND(#REF!="Muy Alta",#REF!="Leve"),CONCATENATE("R3C",#REF!),"")</f>
        <v>#REF!</v>
      </c>
      <c r="O8" s="41" t="e">
        <f>IF(AND(#REF!="Muy Alta",#REF!="Leve"),CONCATENATE("R3C",#REF!),"")</f>
        <v>#REF!</v>
      </c>
      <c r="P8" s="39" t="e">
        <f>IF(AND(#REF!="Muy Alta",#REF!="Menor"),CONCATENATE("R3C",#REF!),"")</f>
        <v>#REF!</v>
      </c>
      <c r="Q8" s="40" t="e">
        <f>IF(AND(#REF!="Muy Alta",#REF!="Menor"),CONCATENATE("R3C",#REF!),"")</f>
        <v>#REF!</v>
      </c>
      <c r="R8" s="40" t="e">
        <f>IF(AND(#REF!="Muy Alta",#REF!="Menor"),CONCATENATE("R3C",#REF!),"")</f>
        <v>#REF!</v>
      </c>
      <c r="S8" s="40" t="e">
        <f>IF(AND(#REF!="Muy Alta",#REF!="Menor"),CONCATENATE("R3C",#REF!),"")</f>
        <v>#REF!</v>
      </c>
      <c r="T8" s="40" t="e">
        <f>IF(AND(#REF!="Muy Alta",#REF!="Menor"),CONCATENATE("R3C",#REF!),"")</f>
        <v>#REF!</v>
      </c>
      <c r="U8" s="41" t="e">
        <f>IF(AND(#REF!="Muy Alta",#REF!="Menor"),CONCATENATE("R3C",#REF!),"")</f>
        <v>#REF!</v>
      </c>
      <c r="V8" s="39" t="e">
        <f>IF(AND(#REF!="Muy Alta",#REF!="Moderado"),CONCATENATE("R3C",#REF!),"")</f>
        <v>#REF!</v>
      </c>
      <c r="W8" s="40" t="e">
        <f>IF(AND(#REF!="Muy Alta",#REF!="Moderado"),CONCATENATE("R3C",#REF!),"")</f>
        <v>#REF!</v>
      </c>
      <c r="X8" s="40" t="e">
        <f>IF(AND(#REF!="Muy Alta",#REF!="Moderado"),CONCATENATE("R3C",#REF!),"")</f>
        <v>#REF!</v>
      </c>
      <c r="Y8" s="40" t="e">
        <f>IF(AND(#REF!="Muy Alta",#REF!="Moderado"),CONCATENATE("R3C",#REF!),"")</f>
        <v>#REF!</v>
      </c>
      <c r="Z8" s="40" t="e">
        <f>IF(AND(#REF!="Muy Alta",#REF!="Moderado"),CONCATENATE("R3C",#REF!),"")</f>
        <v>#REF!</v>
      </c>
      <c r="AA8" s="41" t="e">
        <f>IF(AND(#REF!="Muy Alta",#REF!="Moderado"),CONCATENATE("R3C",#REF!),"")</f>
        <v>#REF!</v>
      </c>
      <c r="AB8" s="39" t="e">
        <f>IF(AND(#REF!="Muy Alta",#REF!="Mayor"),CONCATENATE("R3C",#REF!),"")</f>
        <v>#REF!</v>
      </c>
      <c r="AC8" s="40" t="e">
        <f>IF(AND(#REF!="Muy Alta",#REF!="Mayor"),CONCATENATE("R3C",#REF!),"")</f>
        <v>#REF!</v>
      </c>
      <c r="AD8" s="40" t="e">
        <f>IF(AND(#REF!="Muy Alta",#REF!="Mayor"),CONCATENATE("R3C",#REF!),"")</f>
        <v>#REF!</v>
      </c>
      <c r="AE8" s="40" t="e">
        <f>IF(AND(#REF!="Muy Alta",#REF!="Mayor"),CONCATENATE("R3C",#REF!),"")</f>
        <v>#REF!</v>
      </c>
      <c r="AF8" s="40" t="e">
        <f>IF(AND(#REF!="Muy Alta",#REF!="Mayor"),CONCATENATE("R3C",#REF!),"")</f>
        <v>#REF!</v>
      </c>
      <c r="AG8" s="41" t="e">
        <f>IF(AND(#REF!="Muy Alta",#REF!="Mayor"),CONCATENATE("R3C",#REF!),"")</f>
        <v>#REF!</v>
      </c>
      <c r="AH8" s="42" t="e">
        <f>IF(AND(#REF!="Muy Alta",#REF!="Catastrófico"),CONCATENATE("R3C",#REF!),"")</f>
        <v>#REF!</v>
      </c>
      <c r="AI8" s="43" t="e">
        <f>IF(AND(#REF!="Muy Alta",#REF!="Catastrófico"),CONCATENATE("R3C",#REF!),"")</f>
        <v>#REF!</v>
      </c>
      <c r="AJ8" s="43" t="e">
        <f>IF(AND(#REF!="Muy Alta",#REF!="Catastrófico"),CONCATENATE("R3C",#REF!),"")</f>
        <v>#REF!</v>
      </c>
      <c r="AK8" s="43" t="e">
        <f>IF(AND(#REF!="Muy Alta",#REF!="Catastrófico"),CONCATENATE("R3C",#REF!),"")</f>
        <v>#REF!</v>
      </c>
      <c r="AL8" s="43" t="e">
        <f>IF(AND(#REF!="Muy Alta",#REF!="Catastrófico"),CONCATENATE("R3C",#REF!),"")</f>
        <v>#REF!</v>
      </c>
      <c r="AM8" s="44" t="e">
        <f>IF(AND(#REF!="Muy Alta",#REF!="Catastrófico"),CONCATENATE("R3C",#REF!),"")</f>
        <v>#REF!</v>
      </c>
      <c r="AN8" s="70"/>
      <c r="AO8" s="707"/>
      <c r="AP8" s="708"/>
      <c r="AQ8" s="708"/>
      <c r="AR8" s="708"/>
      <c r="AS8" s="708"/>
      <c r="AT8" s="709"/>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646"/>
      <c r="C9" s="646"/>
      <c r="D9" s="647"/>
      <c r="E9" s="687"/>
      <c r="F9" s="688"/>
      <c r="G9" s="688"/>
      <c r="H9" s="688"/>
      <c r="I9" s="689"/>
      <c r="J9" s="39" t="e">
        <f>IF(AND(#REF!="Muy Alta",#REF!="Leve"),CONCATENATE("R4C",#REF!),"")</f>
        <v>#REF!</v>
      </c>
      <c r="K9" s="40" t="e">
        <f>IF(AND(#REF!="Muy Alta",#REF!="Leve"),CONCATENATE("R4C",#REF!),"")</f>
        <v>#REF!</v>
      </c>
      <c r="L9" s="40" t="e">
        <f>IF(AND(#REF!="Muy Alta",#REF!="Leve"),CONCATENATE("R4C",#REF!),"")</f>
        <v>#REF!</v>
      </c>
      <c r="M9" s="40" t="e">
        <f>IF(AND(#REF!="Muy Alta",#REF!="Leve"),CONCATENATE("R4C",#REF!),"")</f>
        <v>#REF!</v>
      </c>
      <c r="N9" s="40" t="e">
        <f>IF(AND(#REF!="Muy Alta",#REF!="Leve"),CONCATENATE("R4C",#REF!),"")</f>
        <v>#REF!</v>
      </c>
      <c r="O9" s="41" t="e">
        <f>IF(AND(#REF!="Muy Alta",#REF!="Leve"),CONCATENATE("R4C",#REF!),"")</f>
        <v>#REF!</v>
      </c>
      <c r="P9" s="39" t="e">
        <f>IF(AND(#REF!="Muy Alta",#REF!="Menor"),CONCATENATE("R4C",#REF!),"")</f>
        <v>#REF!</v>
      </c>
      <c r="Q9" s="40" t="e">
        <f>IF(AND(#REF!="Muy Alta",#REF!="Menor"),CONCATENATE("R4C",#REF!),"")</f>
        <v>#REF!</v>
      </c>
      <c r="R9" s="40" t="e">
        <f>IF(AND(#REF!="Muy Alta",#REF!="Menor"),CONCATENATE("R4C",#REF!),"")</f>
        <v>#REF!</v>
      </c>
      <c r="S9" s="40" t="e">
        <f>IF(AND(#REF!="Muy Alta",#REF!="Menor"),CONCATENATE("R4C",#REF!),"")</f>
        <v>#REF!</v>
      </c>
      <c r="T9" s="40" t="e">
        <f>IF(AND(#REF!="Muy Alta",#REF!="Menor"),CONCATENATE("R4C",#REF!),"")</f>
        <v>#REF!</v>
      </c>
      <c r="U9" s="41" t="e">
        <f>IF(AND(#REF!="Muy Alta",#REF!="Menor"),CONCATENATE("R4C",#REF!),"")</f>
        <v>#REF!</v>
      </c>
      <c r="V9" s="39" t="e">
        <f>IF(AND(#REF!="Muy Alta",#REF!="Moderado"),CONCATENATE("R4C",#REF!),"")</f>
        <v>#REF!</v>
      </c>
      <c r="W9" s="40" t="e">
        <f>IF(AND(#REF!="Muy Alta",#REF!="Moderado"),CONCATENATE("R4C",#REF!),"")</f>
        <v>#REF!</v>
      </c>
      <c r="X9" s="40" t="e">
        <f>IF(AND(#REF!="Muy Alta",#REF!="Moderado"),CONCATENATE("R4C",#REF!),"")</f>
        <v>#REF!</v>
      </c>
      <c r="Y9" s="40" t="e">
        <f>IF(AND(#REF!="Muy Alta",#REF!="Moderado"),CONCATENATE("R4C",#REF!),"")</f>
        <v>#REF!</v>
      </c>
      <c r="Z9" s="40" t="e">
        <f>IF(AND(#REF!="Muy Alta",#REF!="Moderado"),CONCATENATE("R4C",#REF!),"")</f>
        <v>#REF!</v>
      </c>
      <c r="AA9" s="41" t="e">
        <f>IF(AND(#REF!="Muy Alta",#REF!="Moderado"),CONCATENATE("R4C",#REF!),"")</f>
        <v>#REF!</v>
      </c>
      <c r="AB9" s="39" t="e">
        <f>IF(AND(#REF!="Muy Alta",#REF!="Mayor"),CONCATENATE("R4C",#REF!),"")</f>
        <v>#REF!</v>
      </c>
      <c r="AC9" s="40" t="e">
        <f>IF(AND(#REF!="Muy Alta",#REF!="Mayor"),CONCATENATE("R4C",#REF!),"")</f>
        <v>#REF!</v>
      </c>
      <c r="AD9" s="40" t="e">
        <f>IF(AND(#REF!="Muy Alta",#REF!="Mayor"),CONCATENATE("R4C",#REF!),"")</f>
        <v>#REF!</v>
      </c>
      <c r="AE9" s="40" t="e">
        <f>IF(AND(#REF!="Muy Alta",#REF!="Mayor"),CONCATENATE("R4C",#REF!),"")</f>
        <v>#REF!</v>
      </c>
      <c r="AF9" s="40" t="e">
        <f>IF(AND(#REF!="Muy Alta",#REF!="Mayor"),CONCATENATE("R4C",#REF!),"")</f>
        <v>#REF!</v>
      </c>
      <c r="AG9" s="41" t="e">
        <f>IF(AND(#REF!="Muy Alta",#REF!="Mayor"),CONCATENATE("R4C",#REF!),"")</f>
        <v>#REF!</v>
      </c>
      <c r="AH9" s="42" t="e">
        <f>IF(AND(#REF!="Muy Alta",#REF!="Catastrófico"),CONCATENATE("R4C",#REF!),"")</f>
        <v>#REF!</v>
      </c>
      <c r="AI9" s="43" t="e">
        <f>IF(AND(#REF!="Muy Alta",#REF!="Catastrófico"),CONCATENATE("R4C",#REF!),"")</f>
        <v>#REF!</v>
      </c>
      <c r="AJ9" s="43" t="e">
        <f>IF(AND(#REF!="Muy Alta",#REF!="Catastrófico"),CONCATENATE("R4C",#REF!),"")</f>
        <v>#REF!</v>
      </c>
      <c r="AK9" s="43" t="e">
        <f>IF(AND(#REF!="Muy Alta",#REF!="Catastrófico"),CONCATENATE("R4C",#REF!),"")</f>
        <v>#REF!</v>
      </c>
      <c r="AL9" s="43" t="e">
        <f>IF(AND(#REF!="Muy Alta",#REF!="Catastrófico"),CONCATENATE("R4C",#REF!),"")</f>
        <v>#REF!</v>
      </c>
      <c r="AM9" s="44" t="e">
        <f>IF(AND(#REF!="Muy Alta",#REF!="Catastrófico"),CONCATENATE("R4C",#REF!),"")</f>
        <v>#REF!</v>
      </c>
      <c r="AN9" s="70"/>
      <c r="AO9" s="707"/>
      <c r="AP9" s="708"/>
      <c r="AQ9" s="708"/>
      <c r="AR9" s="708"/>
      <c r="AS9" s="708"/>
      <c r="AT9" s="709"/>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646"/>
      <c r="C10" s="646"/>
      <c r="D10" s="647"/>
      <c r="E10" s="687"/>
      <c r="F10" s="688"/>
      <c r="G10" s="688"/>
      <c r="H10" s="688"/>
      <c r="I10" s="689"/>
      <c r="J10" s="39" t="e">
        <f>IF(AND(#REF!="Muy Alta",#REF!="Leve"),CONCATENATE("R5C",#REF!),"")</f>
        <v>#REF!</v>
      </c>
      <c r="K10" s="40" t="e">
        <f>IF(AND(#REF!="Muy Alta",#REF!="Leve"),CONCATENATE("R5C",#REF!),"")</f>
        <v>#REF!</v>
      </c>
      <c r="L10" s="40" t="e">
        <f>IF(AND(#REF!="Muy Alta",#REF!="Leve"),CONCATENATE("R5C",#REF!),"")</f>
        <v>#REF!</v>
      </c>
      <c r="M10" s="40" t="e">
        <f>IF(AND(#REF!="Muy Alta",#REF!="Leve"),CONCATENATE("R5C",#REF!),"")</f>
        <v>#REF!</v>
      </c>
      <c r="N10" s="40" t="e">
        <f>IF(AND(#REF!="Muy Alta",#REF!="Leve"),CONCATENATE("R5C",#REF!),"")</f>
        <v>#REF!</v>
      </c>
      <c r="O10" s="41" t="e">
        <f>IF(AND(#REF!="Muy Alta",#REF!="Leve"),CONCATENATE("R5C",#REF!),"")</f>
        <v>#REF!</v>
      </c>
      <c r="P10" s="39" t="e">
        <f>IF(AND(#REF!="Muy Alta",#REF!="Menor"),CONCATENATE("R5C",#REF!),"")</f>
        <v>#REF!</v>
      </c>
      <c r="Q10" s="40" t="e">
        <f>IF(AND(#REF!="Muy Alta",#REF!="Menor"),CONCATENATE("R5C",#REF!),"")</f>
        <v>#REF!</v>
      </c>
      <c r="R10" s="40" t="e">
        <f>IF(AND(#REF!="Muy Alta",#REF!="Menor"),CONCATENATE("R5C",#REF!),"")</f>
        <v>#REF!</v>
      </c>
      <c r="S10" s="40" t="e">
        <f>IF(AND(#REF!="Muy Alta",#REF!="Menor"),CONCATENATE("R5C",#REF!),"")</f>
        <v>#REF!</v>
      </c>
      <c r="T10" s="40" t="e">
        <f>IF(AND(#REF!="Muy Alta",#REF!="Menor"),CONCATENATE("R5C",#REF!),"")</f>
        <v>#REF!</v>
      </c>
      <c r="U10" s="41" t="e">
        <f>IF(AND(#REF!="Muy Alta",#REF!="Menor"),CONCATENATE("R5C",#REF!),"")</f>
        <v>#REF!</v>
      </c>
      <c r="V10" s="39" t="e">
        <f>IF(AND(#REF!="Muy Alta",#REF!="Moderado"),CONCATENATE("R5C",#REF!),"")</f>
        <v>#REF!</v>
      </c>
      <c r="W10" s="40" t="e">
        <f>IF(AND(#REF!="Muy Alta",#REF!="Moderado"),CONCATENATE("R5C",#REF!),"")</f>
        <v>#REF!</v>
      </c>
      <c r="X10" s="40" t="e">
        <f>IF(AND(#REF!="Muy Alta",#REF!="Moderado"),CONCATENATE("R5C",#REF!),"")</f>
        <v>#REF!</v>
      </c>
      <c r="Y10" s="40" t="e">
        <f>IF(AND(#REF!="Muy Alta",#REF!="Moderado"),CONCATENATE("R5C",#REF!),"")</f>
        <v>#REF!</v>
      </c>
      <c r="Z10" s="40" t="e">
        <f>IF(AND(#REF!="Muy Alta",#REF!="Moderado"),CONCATENATE("R5C",#REF!),"")</f>
        <v>#REF!</v>
      </c>
      <c r="AA10" s="41" t="e">
        <f>IF(AND(#REF!="Muy Alta",#REF!="Moderado"),CONCATENATE("R5C",#REF!),"")</f>
        <v>#REF!</v>
      </c>
      <c r="AB10" s="39" t="e">
        <f>IF(AND(#REF!="Muy Alta",#REF!="Mayor"),CONCATENATE("R5C",#REF!),"")</f>
        <v>#REF!</v>
      </c>
      <c r="AC10" s="40" t="e">
        <f>IF(AND(#REF!="Muy Alta",#REF!="Mayor"),CONCATENATE("R5C",#REF!),"")</f>
        <v>#REF!</v>
      </c>
      <c r="AD10" s="40" t="e">
        <f>IF(AND(#REF!="Muy Alta",#REF!="Mayor"),CONCATENATE("R5C",#REF!),"")</f>
        <v>#REF!</v>
      </c>
      <c r="AE10" s="40" t="e">
        <f>IF(AND(#REF!="Muy Alta",#REF!="Mayor"),CONCATENATE("R5C",#REF!),"")</f>
        <v>#REF!</v>
      </c>
      <c r="AF10" s="40" t="e">
        <f>IF(AND(#REF!="Muy Alta",#REF!="Mayor"),CONCATENATE("R5C",#REF!),"")</f>
        <v>#REF!</v>
      </c>
      <c r="AG10" s="41" t="e">
        <f>IF(AND(#REF!="Muy Alta",#REF!="Mayor"),CONCATENATE("R5C",#REF!),"")</f>
        <v>#REF!</v>
      </c>
      <c r="AH10" s="42" t="e">
        <f>IF(AND(#REF!="Muy Alta",#REF!="Catastrófico"),CONCATENATE("R5C",#REF!),"")</f>
        <v>#REF!</v>
      </c>
      <c r="AI10" s="43" t="e">
        <f>IF(AND(#REF!="Muy Alta",#REF!="Catastrófico"),CONCATENATE("R5C",#REF!),"")</f>
        <v>#REF!</v>
      </c>
      <c r="AJ10" s="43" t="e">
        <f>IF(AND(#REF!="Muy Alta",#REF!="Catastrófico"),CONCATENATE("R5C",#REF!),"")</f>
        <v>#REF!</v>
      </c>
      <c r="AK10" s="43" t="e">
        <f>IF(AND(#REF!="Muy Alta",#REF!="Catastrófico"),CONCATENATE("R5C",#REF!),"")</f>
        <v>#REF!</v>
      </c>
      <c r="AL10" s="43" t="e">
        <f>IF(AND(#REF!="Muy Alta",#REF!="Catastrófico"),CONCATENATE("R5C",#REF!),"")</f>
        <v>#REF!</v>
      </c>
      <c r="AM10" s="44" t="e">
        <f>IF(AND(#REF!="Muy Alta",#REF!="Catastrófico"),CONCATENATE("R5C",#REF!),"")</f>
        <v>#REF!</v>
      </c>
      <c r="AN10" s="70"/>
      <c r="AO10" s="707"/>
      <c r="AP10" s="708"/>
      <c r="AQ10" s="708"/>
      <c r="AR10" s="708"/>
      <c r="AS10" s="708"/>
      <c r="AT10" s="709"/>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646"/>
      <c r="C11" s="646"/>
      <c r="D11" s="647"/>
      <c r="E11" s="687"/>
      <c r="F11" s="688"/>
      <c r="G11" s="688"/>
      <c r="H11" s="688"/>
      <c r="I11" s="689"/>
      <c r="J11" s="39" t="e">
        <f>IF(AND(#REF!="Muy Alta",#REF!="Leve"),CONCATENATE("R6C",#REF!),"")</f>
        <v>#REF!</v>
      </c>
      <c r="K11" s="40" t="e">
        <f>IF(AND(#REF!="Muy Alta",#REF!="Leve"),CONCATENATE("R6C",#REF!),"")</f>
        <v>#REF!</v>
      </c>
      <c r="L11" s="40" t="e">
        <f>IF(AND(#REF!="Muy Alta",#REF!="Leve"),CONCATENATE("R6C",#REF!),"")</f>
        <v>#REF!</v>
      </c>
      <c r="M11" s="40" t="e">
        <f>IF(AND(#REF!="Muy Alta",#REF!="Leve"),CONCATENATE("R6C",#REF!),"")</f>
        <v>#REF!</v>
      </c>
      <c r="N11" s="40" t="e">
        <f>IF(AND(#REF!="Muy Alta",#REF!="Leve"),CONCATENATE("R6C",#REF!),"")</f>
        <v>#REF!</v>
      </c>
      <c r="O11" s="41" t="e">
        <f>IF(AND(#REF!="Muy Alta",#REF!="Leve"),CONCATENATE("R6C",#REF!),"")</f>
        <v>#REF!</v>
      </c>
      <c r="P11" s="39" t="e">
        <f>IF(AND(#REF!="Muy Alta",#REF!="Menor"),CONCATENATE("R6C",#REF!),"")</f>
        <v>#REF!</v>
      </c>
      <c r="Q11" s="40" t="e">
        <f>IF(AND(#REF!="Muy Alta",#REF!="Menor"),CONCATENATE("R6C",#REF!),"")</f>
        <v>#REF!</v>
      </c>
      <c r="R11" s="40" t="e">
        <f>IF(AND(#REF!="Muy Alta",#REF!="Menor"),CONCATENATE("R6C",#REF!),"")</f>
        <v>#REF!</v>
      </c>
      <c r="S11" s="40" t="e">
        <f>IF(AND(#REF!="Muy Alta",#REF!="Menor"),CONCATENATE("R6C",#REF!),"")</f>
        <v>#REF!</v>
      </c>
      <c r="T11" s="40" t="e">
        <f>IF(AND(#REF!="Muy Alta",#REF!="Menor"),CONCATENATE("R6C",#REF!),"")</f>
        <v>#REF!</v>
      </c>
      <c r="U11" s="41" t="e">
        <f>IF(AND(#REF!="Muy Alta",#REF!="Menor"),CONCATENATE("R6C",#REF!),"")</f>
        <v>#REF!</v>
      </c>
      <c r="V11" s="39" t="e">
        <f>IF(AND(#REF!="Muy Alta",#REF!="Moderado"),CONCATENATE("R6C",#REF!),"")</f>
        <v>#REF!</v>
      </c>
      <c r="W11" s="40" t="e">
        <f>IF(AND(#REF!="Muy Alta",#REF!="Moderado"),CONCATENATE("R6C",#REF!),"")</f>
        <v>#REF!</v>
      </c>
      <c r="X11" s="40" t="e">
        <f>IF(AND(#REF!="Muy Alta",#REF!="Moderado"),CONCATENATE("R6C",#REF!),"")</f>
        <v>#REF!</v>
      </c>
      <c r="Y11" s="40" t="e">
        <f>IF(AND(#REF!="Muy Alta",#REF!="Moderado"),CONCATENATE("R6C",#REF!),"")</f>
        <v>#REF!</v>
      </c>
      <c r="Z11" s="40" t="e">
        <f>IF(AND(#REF!="Muy Alta",#REF!="Moderado"),CONCATENATE("R6C",#REF!),"")</f>
        <v>#REF!</v>
      </c>
      <c r="AA11" s="41" t="e">
        <f>IF(AND(#REF!="Muy Alta",#REF!="Moderado"),CONCATENATE("R6C",#REF!),"")</f>
        <v>#REF!</v>
      </c>
      <c r="AB11" s="39" t="e">
        <f>IF(AND(#REF!="Muy Alta",#REF!="Mayor"),CONCATENATE("R6C",#REF!),"")</f>
        <v>#REF!</v>
      </c>
      <c r="AC11" s="40" t="e">
        <f>IF(AND(#REF!="Muy Alta",#REF!="Mayor"),CONCATENATE("R6C",#REF!),"")</f>
        <v>#REF!</v>
      </c>
      <c r="AD11" s="40" t="e">
        <f>IF(AND(#REF!="Muy Alta",#REF!="Mayor"),CONCATENATE("R6C",#REF!),"")</f>
        <v>#REF!</v>
      </c>
      <c r="AE11" s="40" t="e">
        <f>IF(AND(#REF!="Muy Alta",#REF!="Mayor"),CONCATENATE("R6C",#REF!),"")</f>
        <v>#REF!</v>
      </c>
      <c r="AF11" s="40" t="e">
        <f>IF(AND(#REF!="Muy Alta",#REF!="Mayor"),CONCATENATE("R6C",#REF!),"")</f>
        <v>#REF!</v>
      </c>
      <c r="AG11" s="41" t="e">
        <f>IF(AND(#REF!="Muy Alta",#REF!="Mayor"),CONCATENATE("R6C",#REF!),"")</f>
        <v>#REF!</v>
      </c>
      <c r="AH11" s="42" t="e">
        <f>IF(AND(#REF!="Muy Alta",#REF!="Catastrófico"),CONCATENATE("R6C",#REF!),"")</f>
        <v>#REF!</v>
      </c>
      <c r="AI11" s="43" t="e">
        <f>IF(AND(#REF!="Muy Alta",#REF!="Catastrófico"),CONCATENATE("R6C",#REF!),"")</f>
        <v>#REF!</v>
      </c>
      <c r="AJ11" s="43" t="e">
        <f>IF(AND(#REF!="Muy Alta",#REF!="Catastrófico"),CONCATENATE("R6C",#REF!),"")</f>
        <v>#REF!</v>
      </c>
      <c r="AK11" s="43" t="e">
        <f>IF(AND(#REF!="Muy Alta",#REF!="Catastrófico"),CONCATENATE("R6C",#REF!),"")</f>
        <v>#REF!</v>
      </c>
      <c r="AL11" s="43" t="e">
        <f>IF(AND(#REF!="Muy Alta",#REF!="Catastrófico"),CONCATENATE("R6C",#REF!),"")</f>
        <v>#REF!</v>
      </c>
      <c r="AM11" s="44" t="e">
        <f>IF(AND(#REF!="Muy Alta",#REF!="Catastrófico"),CONCATENATE("R6C",#REF!),"")</f>
        <v>#REF!</v>
      </c>
      <c r="AN11" s="70"/>
      <c r="AO11" s="707"/>
      <c r="AP11" s="708"/>
      <c r="AQ11" s="708"/>
      <c r="AR11" s="708"/>
      <c r="AS11" s="708"/>
      <c r="AT11" s="709"/>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646"/>
      <c r="C12" s="646"/>
      <c r="D12" s="647"/>
      <c r="E12" s="687"/>
      <c r="F12" s="688"/>
      <c r="G12" s="688"/>
      <c r="H12" s="688"/>
      <c r="I12" s="689"/>
      <c r="J12" s="39" t="e">
        <f>IF(AND(#REF!="Muy Alta",#REF!="Leve"),CONCATENATE("R7C",#REF!),"")</f>
        <v>#REF!</v>
      </c>
      <c r="K12" s="40" t="e">
        <f>IF(AND(#REF!="Muy Alta",#REF!="Leve"),CONCATENATE("R7C",#REF!),"")</f>
        <v>#REF!</v>
      </c>
      <c r="L12" s="40" t="e">
        <f>IF(AND(#REF!="Muy Alta",#REF!="Leve"),CONCATENATE("R7C",#REF!),"")</f>
        <v>#REF!</v>
      </c>
      <c r="M12" s="40" t="e">
        <f>IF(AND(#REF!="Muy Alta",#REF!="Leve"),CONCATENATE("R7C",#REF!),"")</f>
        <v>#REF!</v>
      </c>
      <c r="N12" s="40" t="e">
        <f>IF(AND(#REF!="Muy Alta",#REF!="Leve"),CONCATENATE("R7C",#REF!),"")</f>
        <v>#REF!</v>
      </c>
      <c r="O12" s="41" t="e">
        <f>IF(AND(#REF!="Muy Alta",#REF!="Leve"),CONCATENATE("R7C",#REF!),"")</f>
        <v>#REF!</v>
      </c>
      <c r="P12" s="39" t="e">
        <f>IF(AND(#REF!="Muy Alta",#REF!="Menor"),CONCATENATE("R7C",#REF!),"")</f>
        <v>#REF!</v>
      </c>
      <c r="Q12" s="40" t="e">
        <f>IF(AND(#REF!="Muy Alta",#REF!="Menor"),CONCATENATE("R7C",#REF!),"")</f>
        <v>#REF!</v>
      </c>
      <c r="R12" s="40" t="e">
        <f>IF(AND(#REF!="Muy Alta",#REF!="Menor"),CONCATENATE("R7C",#REF!),"")</f>
        <v>#REF!</v>
      </c>
      <c r="S12" s="40" t="e">
        <f>IF(AND(#REF!="Muy Alta",#REF!="Menor"),CONCATENATE("R7C",#REF!),"")</f>
        <v>#REF!</v>
      </c>
      <c r="T12" s="40" t="e">
        <f>IF(AND(#REF!="Muy Alta",#REF!="Menor"),CONCATENATE("R7C",#REF!),"")</f>
        <v>#REF!</v>
      </c>
      <c r="U12" s="41" t="e">
        <f>IF(AND(#REF!="Muy Alta",#REF!="Menor"),CONCATENATE("R7C",#REF!),"")</f>
        <v>#REF!</v>
      </c>
      <c r="V12" s="39" t="e">
        <f>IF(AND(#REF!="Muy Alta",#REF!="Moderado"),CONCATENATE("R7C",#REF!),"")</f>
        <v>#REF!</v>
      </c>
      <c r="W12" s="40" t="e">
        <f>IF(AND(#REF!="Muy Alta",#REF!="Moderado"),CONCATENATE("R7C",#REF!),"")</f>
        <v>#REF!</v>
      </c>
      <c r="X12" s="40" t="e">
        <f>IF(AND(#REF!="Muy Alta",#REF!="Moderado"),CONCATENATE("R7C",#REF!),"")</f>
        <v>#REF!</v>
      </c>
      <c r="Y12" s="40" t="e">
        <f>IF(AND(#REF!="Muy Alta",#REF!="Moderado"),CONCATENATE("R7C",#REF!),"")</f>
        <v>#REF!</v>
      </c>
      <c r="Z12" s="40" t="e">
        <f>IF(AND(#REF!="Muy Alta",#REF!="Moderado"),CONCATENATE("R7C",#REF!),"")</f>
        <v>#REF!</v>
      </c>
      <c r="AA12" s="41" t="e">
        <f>IF(AND(#REF!="Muy Alta",#REF!="Moderado"),CONCATENATE("R7C",#REF!),"")</f>
        <v>#REF!</v>
      </c>
      <c r="AB12" s="39" t="e">
        <f>IF(AND(#REF!="Muy Alta",#REF!="Mayor"),CONCATENATE("R7C",#REF!),"")</f>
        <v>#REF!</v>
      </c>
      <c r="AC12" s="40" t="e">
        <f>IF(AND(#REF!="Muy Alta",#REF!="Mayor"),CONCATENATE("R7C",#REF!),"")</f>
        <v>#REF!</v>
      </c>
      <c r="AD12" s="40" t="e">
        <f>IF(AND(#REF!="Muy Alta",#REF!="Mayor"),CONCATENATE("R7C",#REF!),"")</f>
        <v>#REF!</v>
      </c>
      <c r="AE12" s="40" t="e">
        <f>IF(AND(#REF!="Muy Alta",#REF!="Mayor"),CONCATENATE("R7C",#REF!),"")</f>
        <v>#REF!</v>
      </c>
      <c r="AF12" s="40" t="e">
        <f>IF(AND(#REF!="Muy Alta",#REF!="Mayor"),CONCATENATE("R7C",#REF!),"")</f>
        <v>#REF!</v>
      </c>
      <c r="AG12" s="41" t="e">
        <f>IF(AND(#REF!="Muy Alta",#REF!="Mayor"),CONCATENATE("R7C",#REF!),"")</f>
        <v>#REF!</v>
      </c>
      <c r="AH12" s="42" t="e">
        <f>IF(AND(#REF!="Muy Alta",#REF!="Catastrófico"),CONCATENATE("R7C",#REF!),"")</f>
        <v>#REF!</v>
      </c>
      <c r="AI12" s="43" t="e">
        <f>IF(AND(#REF!="Muy Alta",#REF!="Catastrófico"),CONCATENATE("R7C",#REF!),"")</f>
        <v>#REF!</v>
      </c>
      <c r="AJ12" s="43" t="e">
        <f>IF(AND(#REF!="Muy Alta",#REF!="Catastrófico"),CONCATENATE("R7C",#REF!),"")</f>
        <v>#REF!</v>
      </c>
      <c r="AK12" s="43" t="e">
        <f>IF(AND(#REF!="Muy Alta",#REF!="Catastrófico"),CONCATENATE("R7C",#REF!),"")</f>
        <v>#REF!</v>
      </c>
      <c r="AL12" s="43" t="e">
        <f>IF(AND(#REF!="Muy Alta",#REF!="Catastrófico"),CONCATENATE("R7C",#REF!),"")</f>
        <v>#REF!</v>
      </c>
      <c r="AM12" s="44" t="e">
        <f>IF(AND(#REF!="Muy Alta",#REF!="Catastrófico"),CONCATENATE("R7C",#REF!),"")</f>
        <v>#REF!</v>
      </c>
      <c r="AN12" s="70"/>
      <c r="AO12" s="707"/>
      <c r="AP12" s="708"/>
      <c r="AQ12" s="708"/>
      <c r="AR12" s="708"/>
      <c r="AS12" s="708"/>
      <c r="AT12" s="709"/>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646"/>
      <c r="C13" s="646"/>
      <c r="D13" s="647"/>
      <c r="E13" s="687"/>
      <c r="F13" s="688"/>
      <c r="G13" s="688"/>
      <c r="H13" s="688"/>
      <c r="I13" s="689"/>
      <c r="J13" s="39" t="e">
        <f>IF(AND(#REF!="Muy Alta",#REF!="Leve"),CONCATENATE("R8C",#REF!),"")</f>
        <v>#REF!</v>
      </c>
      <c r="K13" s="40" t="e">
        <f>IF(AND(#REF!="Muy Alta",#REF!="Leve"),CONCATENATE("R8C",#REF!),"")</f>
        <v>#REF!</v>
      </c>
      <c r="L13" s="40" t="e">
        <f>IF(AND(#REF!="Muy Alta",#REF!="Leve"),CONCATENATE("R8C",#REF!),"")</f>
        <v>#REF!</v>
      </c>
      <c r="M13" s="40" t="e">
        <f>IF(AND(#REF!="Muy Alta",#REF!="Leve"),CONCATENATE("R8C",#REF!),"")</f>
        <v>#REF!</v>
      </c>
      <c r="N13" s="40" t="e">
        <f>IF(AND(#REF!="Muy Alta",#REF!="Leve"),CONCATENATE("R8C",#REF!),"")</f>
        <v>#REF!</v>
      </c>
      <c r="O13" s="41" t="e">
        <f>IF(AND(#REF!="Muy Alta",#REF!="Leve"),CONCATENATE("R8C",#REF!),"")</f>
        <v>#REF!</v>
      </c>
      <c r="P13" s="39" t="e">
        <f>IF(AND(#REF!="Muy Alta",#REF!="Menor"),CONCATENATE("R8C",#REF!),"")</f>
        <v>#REF!</v>
      </c>
      <c r="Q13" s="40" t="e">
        <f>IF(AND(#REF!="Muy Alta",#REF!="Menor"),CONCATENATE("R8C",#REF!),"")</f>
        <v>#REF!</v>
      </c>
      <c r="R13" s="40" t="e">
        <f>IF(AND(#REF!="Muy Alta",#REF!="Menor"),CONCATENATE("R8C",#REF!),"")</f>
        <v>#REF!</v>
      </c>
      <c r="S13" s="40" t="e">
        <f>IF(AND(#REF!="Muy Alta",#REF!="Menor"),CONCATENATE("R8C",#REF!),"")</f>
        <v>#REF!</v>
      </c>
      <c r="T13" s="40" t="e">
        <f>IF(AND(#REF!="Muy Alta",#REF!="Menor"),CONCATENATE("R8C",#REF!),"")</f>
        <v>#REF!</v>
      </c>
      <c r="U13" s="41" t="e">
        <f>IF(AND(#REF!="Muy Alta",#REF!="Menor"),CONCATENATE("R8C",#REF!),"")</f>
        <v>#REF!</v>
      </c>
      <c r="V13" s="39" t="e">
        <f>IF(AND(#REF!="Muy Alta",#REF!="Moderado"),CONCATENATE("R8C",#REF!),"")</f>
        <v>#REF!</v>
      </c>
      <c r="W13" s="40" t="e">
        <f>IF(AND(#REF!="Muy Alta",#REF!="Moderado"),CONCATENATE("R8C",#REF!),"")</f>
        <v>#REF!</v>
      </c>
      <c r="X13" s="40" t="e">
        <f>IF(AND(#REF!="Muy Alta",#REF!="Moderado"),CONCATENATE("R8C",#REF!),"")</f>
        <v>#REF!</v>
      </c>
      <c r="Y13" s="40" t="e">
        <f>IF(AND(#REF!="Muy Alta",#REF!="Moderado"),CONCATENATE("R8C",#REF!),"")</f>
        <v>#REF!</v>
      </c>
      <c r="Z13" s="40" t="e">
        <f>IF(AND(#REF!="Muy Alta",#REF!="Moderado"),CONCATENATE("R8C",#REF!),"")</f>
        <v>#REF!</v>
      </c>
      <c r="AA13" s="41" t="e">
        <f>IF(AND(#REF!="Muy Alta",#REF!="Moderado"),CONCATENATE("R8C",#REF!),"")</f>
        <v>#REF!</v>
      </c>
      <c r="AB13" s="39" t="e">
        <f>IF(AND(#REF!="Muy Alta",#REF!="Mayor"),CONCATENATE("R8C",#REF!),"")</f>
        <v>#REF!</v>
      </c>
      <c r="AC13" s="40" t="e">
        <f>IF(AND(#REF!="Muy Alta",#REF!="Mayor"),CONCATENATE("R8C",#REF!),"")</f>
        <v>#REF!</v>
      </c>
      <c r="AD13" s="40" t="e">
        <f>IF(AND(#REF!="Muy Alta",#REF!="Mayor"),CONCATENATE("R8C",#REF!),"")</f>
        <v>#REF!</v>
      </c>
      <c r="AE13" s="40" t="e">
        <f>IF(AND(#REF!="Muy Alta",#REF!="Mayor"),CONCATENATE("R8C",#REF!),"")</f>
        <v>#REF!</v>
      </c>
      <c r="AF13" s="40" t="e">
        <f>IF(AND(#REF!="Muy Alta",#REF!="Mayor"),CONCATENATE("R8C",#REF!),"")</f>
        <v>#REF!</v>
      </c>
      <c r="AG13" s="41" t="e">
        <f>IF(AND(#REF!="Muy Alta",#REF!="Mayor"),CONCATENATE("R8C",#REF!),"")</f>
        <v>#REF!</v>
      </c>
      <c r="AH13" s="42" t="e">
        <f>IF(AND(#REF!="Muy Alta",#REF!="Catastrófico"),CONCATENATE("R8C",#REF!),"")</f>
        <v>#REF!</v>
      </c>
      <c r="AI13" s="43" t="e">
        <f>IF(AND(#REF!="Muy Alta",#REF!="Catastrófico"),CONCATENATE("R8C",#REF!),"")</f>
        <v>#REF!</v>
      </c>
      <c r="AJ13" s="43" t="e">
        <f>IF(AND(#REF!="Muy Alta",#REF!="Catastrófico"),CONCATENATE("R8C",#REF!),"")</f>
        <v>#REF!</v>
      </c>
      <c r="AK13" s="43" t="e">
        <f>IF(AND(#REF!="Muy Alta",#REF!="Catastrófico"),CONCATENATE("R8C",#REF!),"")</f>
        <v>#REF!</v>
      </c>
      <c r="AL13" s="43" t="e">
        <f>IF(AND(#REF!="Muy Alta",#REF!="Catastrófico"),CONCATENATE("R8C",#REF!),"")</f>
        <v>#REF!</v>
      </c>
      <c r="AM13" s="44" t="e">
        <f>IF(AND(#REF!="Muy Alta",#REF!="Catastrófico"),CONCATENATE("R8C",#REF!),"")</f>
        <v>#REF!</v>
      </c>
      <c r="AN13" s="70"/>
      <c r="AO13" s="707"/>
      <c r="AP13" s="708"/>
      <c r="AQ13" s="708"/>
      <c r="AR13" s="708"/>
      <c r="AS13" s="708"/>
      <c r="AT13" s="709"/>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646"/>
      <c r="C14" s="646"/>
      <c r="D14" s="647"/>
      <c r="E14" s="687"/>
      <c r="F14" s="688"/>
      <c r="G14" s="688"/>
      <c r="H14" s="688"/>
      <c r="I14" s="689"/>
      <c r="J14" s="39" t="e">
        <f>IF(AND(#REF!="Muy Alta",#REF!="Leve"),CONCATENATE("R9C",#REF!),"")</f>
        <v>#REF!</v>
      </c>
      <c r="K14" s="40" t="e">
        <f>IF(AND(#REF!="Muy Alta",#REF!="Leve"),CONCATENATE("R9C",#REF!),"")</f>
        <v>#REF!</v>
      </c>
      <c r="L14" s="40" t="e">
        <f>IF(AND(#REF!="Muy Alta",#REF!="Leve"),CONCATENATE("R9C",#REF!),"")</f>
        <v>#REF!</v>
      </c>
      <c r="M14" s="40" t="e">
        <f>IF(AND(#REF!="Muy Alta",#REF!="Leve"),CONCATENATE("R9C",#REF!),"")</f>
        <v>#REF!</v>
      </c>
      <c r="N14" s="40" t="e">
        <f>IF(AND(#REF!="Muy Alta",#REF!="Leve"),CONCATENATE("R9C",#REF!),"")</f>
        <v>#REF!</v>
      </c>
      <c r="O14" s="41" t="e">
        <f>IF(AND(#REF!="Muy Alta",#REF!="Leve"),CONCATENATE("R9C",#REF!),"")</f>
        <v>#REF!</v>
      </c>
      <c r="P14" s="39" t="e">
        <f>IF(AND(#REF!="Muy Alta",#REF!="Menor"),CONCATENATE("R9C",#REF!),"")</f>
        <v>#REF!</v>
      </c>
      <c r="Q14" s="40" t="e">
        <f>IF(AND(#REF!="Muy Alta",#REF!="Menor"),CONCATENATE("R9C",#REF!),"")</f>
        <v>#REF!</v>
      </c>
      <c r="R14" s="40" t="e">
        <f>IF(AND(#REF!="Muy Alta",#REF!="Menor"),CONCATENATE("R9C",#REF!),"")</f>
        <v>#REF!</v>
      </c>
      <c r="S14" s="40" t="e">
        <f>IF(AND(#REF!="Muy Alta",#REF!="Menor"),CONCATENATE("R9C",#REF!),"")</f>
        <v>#REF!</v>
      </c>
      <c r="T14" s="40" t="e">
        <f>IF(AND(#REF!="Muy Alta",#REF!="Menor"),CONCATENATE("R9C",#REF!),"")</f>
        <v>#REF!</v>
      </c>
      <c r="U14" s="41" t="e">
        <f>IF(AND(#REF!="Muy Alta",#REF!="Menor"),CONCATENATE("R9C",#REF!),"")</f>
        <v>#REF!</v>
      </c>
      <c r="V14" s="39" t="e">
        <f>IF(AND(#REF!="Muy Alta",#REF!="Moderado"),CONCATENATE("R9C",#REF!),"")</f>
        <v>#REF!</v>
      </c>
      <c r="W14" s="40" t="e">
        <f>IF(AND(#REF!="Muy Alta",#REF!="Moderado"),CONCATENATE("R9C",#REF!),"")</f>
        <v>#REF!</v>
      </c>
      <c r="X14" s="40" t="e">
        <f>IF(AND(#REF!="Muy Alta",#REF!="Moderado"),CONCATENATE("R9C",#REF!),"")</f>
        <v>#REF!</v>
      </c>
      <c r="Y14" s="40" t="e">
        <f>IF(AND(#REF!="Muy Alta",#REF!="Moderado"),CONCATENATE("R9C",#REF!),"")</f>
        <v>#REF!</v>
      </c>
      <c r="Z14" s="40" t="e">
        <f>IF(AND(#REF!="Muy Alta",#REF!="Moderado"),CONCATENATE("R9C",#REF!),"")</f>
        <v>#REF!</v>
      </c>
      <c r="AA14" s="41" t="e">
        <f>IF(AND(#REF!="Muy Alta",#REF!="Moderado"),CONCATENATE("R9C",#REF!),"")</f>
        <v>#REF!</v>
      </c>
      <c r="AB14" s="39" t="e">
        <f>IF(AND(#REF!="Muy Alta",#REF!="Mayor"),CONCATENATE("R9C",#REF!),"")</f>
        <v>#REF!</v>
      </c>
      <c r="AC14" s="40" t="e">
        <f>IF(AND(#REF!="Muy Alta",#REF!="Mayor"),CONCATENATE("R9C",#REF!),"")</f>
        <v>#REF!</v>
      </c>
      <c r="AD14" s="40" t="e">
        <f>IF(AND(#REF!="Muy Alta",#REF!="Mayor"),CONCATENATE("R9C",#REF!),"")</f>
        <v>#REF!</v>
      </c>
      <c r="AE14" s="40" t="e">
        <f>IF(AND(#REF!="Muy Alta",#REF!="Mayor"),CONCATENATE("R9C",#REF!),"")</f>
        <v>#REF!</v>
      </c>
      <c r="AF14" s="40" t="e">
        <f>IF(AND(#REF!="Muy Alta",#REF!="Mayor"),CONCATENATE("R9C",#REF!),"")</f>
        <v>#REF!</v>
      </c>
      <c r="AG14" s="41" t="e">
        <f>IF(AND(#REF!="Muy Alta",#REF!="Mayor"),CONCATENATE("R9C",#REF!),"")</f>
        <v>#REF!</v>
      </c>
      <c r="AH14" s="42" t="e">
        <f>IF(AND(#REF!="Muy Alta",#REF!="Catastrófico"),CONCATENATE("R9C",#REF!),"")</f>
        <v>#REF!</v>
      </c>
      <c r="AI14" s="43" t="e">
        <f>IF(AND(#REF!="Muy Alta",#REF!="Catastrófico"),CONCATENATE("R9C",#REF!),"")</f>
        <v>#REF!</v>
      </c>
      <c r="AJ14" s="43" t="e">
        <f>IF(AND(#REF!="Muy Alta",#REF!="Catastrófico"),CONCATENATE("R9C",#REF!),"")</f>
        <v>#REF!</v>
      </c>
      <c r="AK14" s="43" t="e">
        <f>IF(AND(#REF!="Muy Alta",#REF!="Catastrófico"),CONCATENATE("R9C",#REF!),"")</f>
        <v>#REF!</v>
      </c>
      <c r="AL14" s="43" t="e">
        <f>IF(AND(#REF!="Muy Alta",#REF!="Catastrófico"),CONCATENATE("R9C",#REF!),"")</f>
        <v>#REF!</v>
      </c>
      <c r="AM14" s="44" t="e">
        <f>IF(AND(#REF!="Muy Alta",#REF!="Catastrófico"),CONCATENATE("R9C",#REF!),"")</f>
        <v>#REF!</v>
      </c>
      <c r="AN14" s="70"/>
      <c r="AO14" s="707"/>
      <c r="AP14" s="708"/>
      <c r="AQ14" s="708"/>
      <c r="AR14" s="708"/>
      <c r="AS14" s="708"/>
      <c r="AT14" s="709"/>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646"/>
      <c r="C15" s="646"/>
      <c r="D15" s="647"/>
      <c r="E15" s="690"/>
      <c r="F15" s="691"/>
      <c r="G15" s="691"/>
      <c r="H15" s="691"/>
      <c r="I15" s="692"/>
      <c r="J15" s="45" t="e">
        <f>IF(AND(#REF!="Muy Alta",#REF!="Leve"),CONCATENATE("R10C",#REF!),"")</f>
        <v>#REF!</v>
      </c>
      <c r="K15" s="46" t="e">
        <f>IF(AND(#REF!="Muy Alta",#REF!="Leve"),CONCATENATE("R10C",#REF!),"")</f>
        <v>#REF!</v>
      </c>
      <c r="L15" s="46" t="e">
        <f>IF(AND(#REF!="Muy Alta",#REF!="Leve"),CONCATENATE("R10C",#REF!),"")</f>
        <v>#REF!</v>
      </c>
      <c r="M15" s="46" t="e">
        <f>IF(AND(#REF!="Muy Alta",#REF!="Leve"),CONCATENATE("R10C",#REF!),"")</f>
        <v>#REF!</v>
      </c>
      <c r="N15" s="46" t="e">
        <f>IF(AND(#REF!="Muy Alta",#REF!="Leve"),CONCATENATE("R10C",#REF!),"")</f>
        <v>#REF!</v>
      </c>
      <c r="O15" s="47" t="e">
        <f>IF(AND(#REF!="Muy Alta",#REF!="Leve"),CONCATENATE("R10C",#REF!),"")</f>
        <v>#REF!</v>
      </c>
      <c r="P15" s="39" t="e">
        <f>IF(AND(#REF!="Muy Alta",#REF!="Menor"),CONCATENATE("R10C",#REF!),"")</f>
        <v>#REF!</v>
      </c>
      <c r="Q15" s="40" t="e">
        <f>IF(AND(#REF!="Muy Alta",#REF!="Menor"),CONCATENATE("R10C",#REF!),"")</f>
        <v>#REF!</v>
      </c>
      <c r="R15" s="40" t="e">
        <f>IF(AND(#REF!="Muy Alta",#REF!="Menor"),CONCATENATE("R10C",#REF!),"")</f>
        <v>#REF!</v>
      </c>
      <c r="S15" s="40" t="e">
        <f>IF(AND(#REF!="Muy Alta",#REF!="Menor"),CONCATENATE("R10C",#REF!),"")</f>
        <v>#REF!</v>
      </c>
      <c r="T15" s="40" t="e">
        <f>IF(AND(#REF!="Muy Alta",#REF!="Menor"),CONCATENATE("R10C",#REF!),"")</f>
        <v>#REF!</v>
      </c>
      <c r="U15" s="41" t="e">
        <f>IF(AND(#REF!="Muy Alta",#REF!="Menor"),CONCATENATE("R10C",#REF!),"")</f>
        <v>#REF!</v>
      </c>
      <c r="V15" s="45" t="e">
        <f>IF(AND(#REF!="Muy Alta",#REF!="Moderado"),CONCATENATE("R10C",#REF!),"")</f>
        <v>#REF!</v>
      </c>
      <c r="W15" s="46" t="e">
        <f>IF(AND(#REF!="Muy Alta",#REF!="Moderado"),CONCATENATE("R10C",#REF!),"")</f>
        <v>#REF!</v>
      </c>
      <c r="X15" s="46" t="e">
        <f>IF(AND(#REF!="Muy Alta",#REF!="Moderado"),CONCATENATE("R10C",#REF!),"")</f>
        <v>#REF!</v>
      </c>
      <c r="Y15" s="46" t="e">
        <f>IF(AND(#REF!="Muy Alta",#REF!="Moderado"),CONCATENATE("R10C",#REF!),"")</f>
        <v>#REF!</v>
      </c>
      <c r="Z15" s="46" t="e">
        <f>IF(AND(#REF!="Muy Alta",#REF!="Moderado"),CONCATENATE("R10C",#REF!),"")</f>
        <v>#REF!</v>
      </c>
      <c r="AA15" s="47" t="e">
        <f>IF(AND(#REF!="Muy Alta",#REF!="Moderado"),CONCATENATE("R10C",#REF!),"")</f>
        <v>#REF!</v>
      </c>
      <c r="AB15" s="39" t="e">
        <f>IF(AND(#REF!="Muy Alta",#REF!="Mayor"),CONCATENATE("R10C",#REF!),"")</f>
        <v>#REF!</v>
      </c>
      <c r="AC15" s="40" t="e">
        <f>IF(AND(#REF!="Muy Alta",#REF!="Mayor"),CONCATENATE("R10C",#REF!),"")</f>
        <v>#REF!</v>
      </c>
      <c r="AD15" s="40" t="e">
        <f>IF(AND(#REF!="Muy Alta",#REF!="Mayor"),CONCATENATE("R10C",#REF!),"")</f>
        <v>#REF!</v>
      </c>
      <c r="AE15" s="40" t="e">
        <f>IF(AND(#REF!="Muy Alta",#REF!="Mayor"),CONCATENATE("R10C",#REF!),"")</f>
        <v>#REF!</v>
      </c>
      <c r="AF15" s="40" t="e">
        <f>IF(AND(#REF!="Muy Alta",#REF!="Mayor"),CONCATENATE("R10C",#REF!),"")</f>
        <v>#REF!</v>
      </c>
      <c r="AG15" s="41" t="e">
        <f>IF(AND(#REF!="Muy Alta",#REF!="Mayor"),CONCATENATE("R10C",#REF!),"")</f>
        <v>#REF!</v>
      </c>
      <c r="AH15" s="48" t="e">
        <f>IF(AND(#REF!="Muy Alta",#REF!="Catastrófico"),CONCATENATE("R10C",#REF!),"")</f>
        <v>#REF!</v>
      </c>
      <c r="AI15" s="49" t="e">
        <f>IF(AND(#REF!="Muy Alta",#REF!="Catastrófico"),CONCATENATE("R10C",#REF!),"")</f>
        <v>#REF!</v>
      </c>
      <c r="AJ15" s="49" t="e">
        <f>IF(AND(#REF!="Muy Alta",#REF!="Catastrófico"),CONCATENATE("R10C",#REF!),"")</f>
        <v>#REF!</v>
      </c>
      <c r="AK15" s="49" t="e">
        <f>IF(AND(#REF!="Muy Alta",#REF!="Catastrófico"),CONCATENATE("R10C",#REF!),"")</f>
        <v>#REF!</v>
      </c>
      <c r="AL15" s="49" t="e">
        <f>IF(AND(#REF!="Muy Alta",#REF!="Catastrófico"),CONCATENATE("R10C",#REF!),"")</f>
        <v>#REF!</v>
      </c>
      <c r="AM15" s="50" t="e">
        <f>IF(AND(#REF!="Muy Alta",#REF!="Catastrófico"),CONCATENATE("R10C",#REF!),"")</f>
        <v>#REF!</v>
      </c>
      <c r="AN15" s="70"/>
      <c r="AO15" s="710"/>
      <c r="AP15" s="711"/>
      <c r="AQ15" s="711"/>
      <c r="AR15" s="711"/>
      <c r="AS15" s="711"/>
      <c r="AT15" s="712"/>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646"/>
      <c r="C16" s="646"/>
      <c r="D16" s="647"/>
      <c r="E16" s="684" t="s">
        <v>99</v>
      </c>
      <c r="F16" s="685"/>
      <c r="G16" s="685"/>
      <c r="H16" s="685"/>
      <c r="I16" s="685"/>
      <c r="J16" s="51" t="e">
        <f>IF(AND(#REF!="Alta",#REF!="Leve"),CONCATENATE("R1C",#REF!),"")</f>
        <v>#REF!</v>
      </c>
      <c r="K16" s="52" t="e">
        <f>IF(AND(#REF!="Alta",#REF!="Leve"),CONCATENATE("R1C",#REF!),"")</f>
        <v>#REF!</v>
      </c>
      <c r="L16" s="52" t="e">
        <f>IF(AND(#REF!="Alta",#REF!="Leve"),CONCATENATE("R1C",#REF!),"")</f>
        <v>#REF!</v>
      </c>
      <c r="M16" s="52" t="e">
        <f>IF(AND(#REF!="Alta",#REF!="Leve"),CONCATENATE("R1C",#REF!),"")</f>
        <v>#REF!</v>
      </c>
      <c r="N16" s="52" t="e">
        <f>IF(AND(#REF!="Alta",#REF!="Leve"),CONCATENATE("R1C",#REF!),"")</f>
        <v>#REF!</v>
      </c>
      <c r="O16" s="53" t="e">
        <f>IF(AND(#REF!="Alta",#REF!="Leve"),CONCATENATE("R1C",#REF!),"")</f>
        <v>#REF!</v>
      </c>
      <c r="P16" s="51" t="e">
        <f>IF(AND(#REF!="Alta",#REF!="Menor"),CONCATENATE("R1C",#REF!),"")</f>
        <v>#REF!</v>
      </c>
      <c r="Q16" s="52" t="e">
        <f>IF(AND(#REF!="Alta",#REF!="Menor"),CONCATENATE("R1C",#REF!),"")</f>
        <v>#REF!</v>
      </c>
      <c r="R16" s="52" t="e">
        <f>IF(AND(#REF!="Alta",#REF!="Menor"),CONCATENATE("R1C",#REF!),"")</f>
        <v>#REF!</v>
      </c>
      <c r="S16" s="52" t="e">
        <f>IF(AND(#REF!="Alta",#REF!="Menor"),CONCATENATE("R1C",#REF!),"")</f>
        <v>#REF!</v>
      </c>
      <c r="T16" s="52" t="e">
        <f>IF(AND(#REF!="Alta",#REF!="Menor"),CONCATENATE("R1C",#REF!),"")</f>
        <v>#REF!</v>
      </c>
      <c r="U16" s="53" t="e">
        <f>IF(AND(#REF!="Alta",#REF!="Menor"),CONCATENATE("R1C",#REF!),"")</f>
        <v>#REF!</v>
      </c>
      <c r="V16" s="33" t="e">
        <f>IF(AND(#REF!="Alta",#REF!="Moderado"),CONCATENATE("R1C",#REF!),"")</f>
        <v>#REF!</v>
      </c>
      <c r="W16" s="34" t="e">
        <f>IF(AND(#REF!="Alta",#REF!="Moderado"),CONCATENATE("R1C",#REF!),"")</f>
        <v>#REF!</v>
      </c>
      <c r="X16" s="34" t="e">
        <f>IF(AND(#REF!="Alta",#REF!="Moderado"),CONCATENATE("R1C",#REF!),"")</f>
        <v>#REF!</v>
      </c>
      <c r="Y16" s="34" t="e">
        <f>IF(AND(#REF!="Alta",#REF!="Moderado"),CONCATENATE("R1C",#REF!),"")</f>
        <v>#REF!</v>
      </c>
      <c r="Z16" s="34" t="e">
        <f>IF(AND(#REF!="Alta",#REF!="Moderado"),CONCATENATE("R1C",#REF!),"")</f>
        <v>#REF!</v>
      </c>
      <c r="AA16" s="35" t="e">
        <f>IF(AND(#REF!="Alta",#REF!="Moderado"),CONCATENATE("R1C",#REF!),"")</f>
        <v>#REF!</v>
      </c>
      <c r="AB16" s="33" t="e">
        <f>IF(AND(#REF!="Alta",#REF!="Mayor"),CONCATENATE("R1C",#REF!),"")</f>
        <v>#REF!</v>
      </c>
      <c r="AC16" s="34" t="e">
        <f>IF(AND(#REF!="Alta",#REF!="Mayor"),CONCATENATE("R1C",#REF!),"")</f>
        <v>#REF!</v>
      </c>
      <c r="AD16" s="34" t="e">
        <f>IF(AND(#REF!="Alta",#REF!="Mayor"),CONCATENATE("R1C",#REF!),"")</f>
        <v>#REF!</v>
      </c>
      <c r="AE16" s="34" t="e">
        <f>IF(AND(#REF!="Alta",#REF!="Mayor"),CONCATENATE("R1C",#REF!),"")</f>
        <v>#REF!</v>
      </c>
      <c r="AF16" s="34" t="e">
        <f>IF(AND(#REF!="Alta",#REF!="Mayor"),CONCATENATE("R1C",#REF!),"")</f>
        <v>#REF!</v>
      </c>
      <c r="AG16" s="35" t="e">
        <f>IF(AND(#REF!="Alta",#REF!="Mayor"),CONCATENATE("R1C",#REF!),"")</f>
        <v>#REF!</v>
      </c>
      <c r="AH16" s="36" t="e">
        <f>IF(AND(#REF!="Alta",#REF!="Catastrófico"),CONCATENATE("R1C",#REF!),"")</f>
        <v>#REF!</v>
      </c>
      <c r="AI16" s="37" t="e">
        <f>IF(AND(#REF!="Alta",#REF!="Catastrófico"),CONCATENATE("R1C",#REF!),"")</f>
        <v>#REF!</v>
      </c>
      <c r="AJ16" s="37" t="e">
        <f>IF(AND(#REF!="Alta",#REF!="Catastrófico"),CONCATENATE("R1C",#REF!),"")</f>
        <v>#REF!</v>
      </c>
      <c r="AK16" s="37" t="e">
        <f>IF(AND(#REF!="Alta",#REF!="Catastrófico"),CONCATENATE("R1C",#REF!),"")</f>
        <v>#REF!</v>
      </c>
      <c r="AL16" s="37" t="e">
        <f>IF(AND(#REF!="Alta",#REF!="Catastrófico"),CONCATENATE("R1C",#REF!),"")</f>
        <v>#REF!</v>
      </c>
      <c r="AM16" s="38" t="e">
        <f>IF(AND(#REF!="Alta",#REF!="Catastrófico"),CONCATENATE("R1C",#REF!),"")</f>
        <v>#REF!</v>
      </c>
      <c r="AN16" s="70"/>
      <c r="AO16" s="694" t="s">
        <v>66</v>
      </c>
      <c r="AP16" s="695"/>
      <c r="AQ16" s="695"/>
      <c r="AR16" s="695"/>
      <c r="AS16" s="695"/>
      <c r="AT16" s="696"/>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646"/>
      <c r="C17" s="646"/>
      <c r="D17" s="647"/>
      <c r="E17" s="703"/>
      <c r="F17" s="688"/>
      <c r="G17" s="688"/>
      <c r="H17" s="688"/>
      <c r="I17" s="688"/>
      <c r="J17" s="54" t="e">
        <f>IF(AND(#REF!="Alta",#REF!="Leve"),CONCATENATE("R2C",#REF!),"")</f>
        <v>#REF!</v>
      </c>
      <c r="K17" s="55" t="e">
        <f>IF(AND(#REF!="Alta",#REF!="Leve"),CONCATENATE("R2C",#REF!),"")</f>
        <v>#REF!</v>
      </c>
      <c r="L17" s="55" t="e">
        <f>IF(AND(#REF!="Alta",#REF!="Leve"),CONCATENATE("R2C",#REF!),"")</f>
        <v>#REF!</v>
      </c>
      <c r="M17" s="55" t="e">
        <f>IF(AND(#REF!="Alta",#REF!="Leve"),CONCATENATE("R2C",#REF!),"")</f>
        <v>#REF!</v>
      </c>
      <c r="N17" s="55" t="e">
        <f>IF(AND(#REF!="Alta",#REF!="Leve"),CONCATENATE("R2C",#REF!),"")</f>
        <v>#REF!</v>
      </c>
      <c r="O17" s="56" t="e">
        <f>IF(AND(#REF!="Alta",#REF!="Leve"),CONCATENATE("R2C",#REF!),"")</f>
        <v>#REF!</v>
      </c>
      <c r="P17" s="54" t="e">
        <f>IF(AND(#REF!="Alta",#REF!="Menor"),CONCATENATE("R2C",#REF!),"")</f>
        <v>#REF!</v>
      </c>
      <c r="Q17" s="55" t="e">
        <f>IF(AND(#REF!="Alta",#REF!="Menor"),CONCATENATE("R2C",#REF!),"")</f>
        <v>#REF!</v>
      </c>
      <c r="R17" s="55" t="e">
        <f>IF(AND(#REF!="Alta",#REF!="Menor"),CONCATENATE("R2C",#REF!),"")</f>
        <v>#REF!</v>
      </c>
      <c r="S17" s="55" t="e">
        <f>IF(AND(#REF!="Alta",#REF!="Menor"),CONCATENATE("R2C",#REF!),"")</f>
        <v>#REF!</v>
      </c>
      <c r="T17" s="55" t="e">
        <f>IF(AND(#REF!="Alta",#REF!="Menor"),CONCATENATE("R2C",#REF!),"")</f>
        <v>#REF!</v>
      </c>
      <c r="U17" s="56" t="e">
        <f>IF(AND(#REF!="Alta",#REF!="Menor"),CONCATENATE("R2C",#REF!),"")</f>
        <v>#REF!</v>
      </c>
      <c r="V17" s="39" t="e">
        <f>IF(AND(#REF!="Alta",#REF!="Moderado"),CONCATENATE("R2C",#REF!),"")</f>
        <v>#REF!</v>
      </c>
      <c r="W17" s="40" t="e">
        <f>IF(AND(#REF!="Alta",#REF!="Moderado"),CONCATENATE("R2C",#REF!),"")</f>
        <v>#REF!</v>
      </c>
      <c r="X17" s="40" t="e">
        <f>IF(AND(#REF!="Alta",#REF!="Moderado"),CONCATENATE("R2C",#REF!),"")</f>
        <v>#REF!</v>
      </c>
      <c r="Y17" s="40" t="e">
        <f>IF(AND(#REF!="Alta",#REF!="Moderado"),CONCATENATE("R2C",#REF!),"")</f>
        <v>#REF!</v>
      </c>
      <c r="Z17" s="40" t="e">
        <f>IF(AND(#REF!="Alta",#REF!="Moderado"),CONCATENATE("R2C",#REF!),"")</f>
        <v>#REF!</v>
      </c>
      <c r="AA17" s="41" t="e">
        <f>IF(AND(#REF!="Alta",#REF!="Moderado"),CONCATENATE("R2C",#REF!),"")</f>
        <v>#REF!</v>
      </c>
      <c r="AB17" s="39" t="e">
        <f>IF(AND(#REF!="Alta",#REF!="Mayor"),CONCATENATE("R2C",#REF!),"")</f>
        <v>#REF!</v>
      </c>
      <c r="AC17" s="40" t="e">
        <f>IF(AND(#REF!="Alta",#REF!="Mayor"),CONCATENATE("R2C",#REF!),"")</f>
        <v>#REF!</v>
      </c>
      <c r="AD17" s="40" t="e">
        <f>IF(AND(#REF!="Alta",#REF!="Mayor"),CONCATENATE("R2C",#REF!),"")</f>
        <v>#REF!</v>
      </c>
      <c r="AE17" s="40" t="e">
        <f>IF(AND(#REF!="Alta",#REF!="Mayor"),CONCATENATE("R2C",#REF!),"")</f>
        <v>#REF!</v>
      </c>
      <c r="AF17" s="40" t="e">
        <f>IF(AND(#REF!="Alta",#REF!="Mayor"),CONCATENATE("R2C",#REF!),"")</f>
        <v>#REF!</v>
      </c>
      <c r="AG17" s="41" t="e">
        <f>IF(AND(#REF!="Alta",#REF!="Mayor"),CONCATENATE("R2C",#REF!),"")</f>
        <v>#REF!</v>
      </c>
      <c r="AH17" s="42" t="e">
        <f>IF(AND(#REF!="Alta",#REF!="Catastrófico"),CONCATENATE("R2C",#REF!),"")</f>
        <v>#REF!</v>
      </c>
      <c r="AI17" s="43" t="e">
        <f>IF(AND(#REF!="Alta",#REF!="Catastrófico"),CONCATENATE("R2C",#REF!),"")</f>
        <v>#REF!</v>
      </c>
      <c r="AJ17" s="43" t="e">
        <f>IF(AND(#REF!="Alta",#REF!="Catastrófico"),CONCATENATE("R2C",#REF!),"")</f>
        <v>#REF!</v>
      </c>
      <c r="AK17" s="43" t="e">
        <f>IF(AND(#REF!="Alta",#REF!="Catastrófico"),CONCATENATE("R2C",#REF!),"")</f>
        <v>#REF!</v>
      </c>
      <c r="AL17" s="43" t="e">
        <f>IF(AND(#REF!="Alta",#REF!="Catastrófico"),CONCATENATE("R2C",#REF!),"")</f>
        <v>#REF!</v>
      </c>
      <c r="AM17" s="44" t="e">
        <f>IF(AND(#REF!="Alta",#REF!="Catastrófico"),CONCATENATE("R2C",#REF!),"")</f>
        <v>#REF!</v>
      </c>
      <c r="AN17" s="70"/>
      <c r="AO17" s="697"/>
      <c r="AP17" s="698"/>
      <c r="AQ17" s="698"/>
      <c r="AR17" s="698"/>
      <c r="AS17" s="698"/>
      <c r="AT17" s="699"/>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646"/>
      <c r="C18" s="646"/>
      <c r="D18" s="647"/>
      <c r="E18" s="687"/>
      <c r="F18" s="688"/>
      <c r="G18" s="688"/>
      <c r="H18" s="688"/>
      <c r="I18" s="688"/>
      <c r="J18" s="54" t="e">
        <f>IF(AND(#REF!="Alta",#REF!="Leve"),CONCATENATE("R3C",#REF!),"")</f>
        <v>#REF!</v>
      </c>
      <c r="K18" s="55" t="e">
        <f>IF(AND(#REF!="Alta",#REF!="Leve"),CONCATENATE("R3C",#REF!),"")</f>
        <v>#REF!</v>
      </c>
      <c r="L18" s="55" t="e">
        <f>IF(AND(#REF!="Alta",#REF!="Leve"),CONCATENATE("R3C",#REF!),"")</f>
        <v>#REF!</v>
      </c>
      <c r="M18" s="55" t="e">
        <f>IF(AND(#REF!="Alta",#REF!="Leve"),CONCATENATE("R3C",#REF!),"")</f>
        <v>#REF!</v>
      </c>
      <c r="N18" s="55" t="e">
        <f>IF(AND(#REF!="Alta",#REF!="Leve"),CONCATENATE("R3C",#REF!),"")</f>
        <v>#REF!</v>
      </c>
      <c r="O18" s="56" t="e">
        <f>IF(AND(#REF!="Alta",#REF!="Leve"),CONCATENATE("R3C",#REF!),"")</f>
        <v>#REF!</v>
      </c>
      <c r="P18" s="54" t="e">
        <f>IF(AND(#REF!="Alta",#REF!="Menor"),CONCATENATE("R3C",#REF!),"")</f>
        <v>#REF!</v>
      </c>
      <c r="Q18" s="55" t="e">
        <f>IF(AND(#REF!="Alta",#REF!="Menor"),CONCATENATE("R3C",#REF!),"")</f>
        <v>#REF!</v>
      </c>
      <c r="R18" s="55" t="e">
        <f>IF(AND(#REF!="Alta",#REF!="Menor"),CONCATENATE("R3C",#REF!),"")</f>
        <v>#REF!</v>
      </c>
      <c r="S18" s="55" t="e">
        <f>IF(AND(#REF!="Alta",#REF!="Menor"),CONCATENATE("R3C",#REF!),"")</f>
        <v>#REF!</v>
      </c>
      <c r="T18" s="55" t="e">
        <f>IF(AND(#REF!="Alta",#REF!="Menor"),CONCATENATE("R3C",#REF!),"")</f>
        <v>#REF!</v>
      </c>
      <c r="U18" s="56" t="e">
        <f>IF(AND(#REF!="Alta",#REF!="Menor"),CONCATENATE("R3C",#REF!),"")</f>
        <v>#REF!</v>
      </c>
      <c r="V18" s="39" t="e">
        <f>IF(AND(#REF!="Alta",#REF!="Moderado"),CONCATENATE("R3C",#REF!),"")</f>
        <v>#REF!</v>
      </c>
      <c r="W18" s="40" t="e">
        <f>IF(AND(#REF!="Alta",#REF!="Moderado"),CONCATENATE("R3C",#REF!),"")</f>
        <v>#REF!</v>
      </c>
      <c r="X18" s="40" t="e">
        <f>IF(AND(#REF!="Alta",#REF!="Moderado"),CONCATENATE("R3C",#REF!),"")</f>
        <v>#REF!</v>
      </c>
      <c r="Y18" s="40" t="e">
        <f>IF(AND(#REF!="Alta",#REF!="Moderado"),CONCATENATE("R3C",#REF!),"")</f>
        <v>#REF!</v>
      </c>
      <c r="Z18" s="40" t="e">
        <f>IF(AND(#REF!="Alta",#REF!="Moderado"),CONCATENATE("R3C",#REF!),"")</f>
        <v>#REF!</v>
      </c>
      <c r="AA18" s="41" t="e">
        <f>IF(AND(#REF!="Alta",#REF!="Moderado"),CONCATENATE("R3C",#REF!),"")</f>
        <v>#REF!</v>
      </c>
      <c r="AB18" s="39" t="e">
        <f>IF(AND(#REF!="Alta",#REF!="Mayor"),CONCATENATE("R3C",#REF!),"")</f>
        <v>#REF!</v>
      </c>
      <c r="AC18" s="40" t="e">
        <f>IF(AND(#REF!="Alta",#REF!="Mayor"),CONCATENATE("R3C",#REF!),"")</f>
        <v>#REF!</v>
      </c>
      <c r="AD18" s="40" t="e">
        <f>IF(AND(#REF!="Alta",#REF!="Mayor"),CONCATENATE("R3C",#REF!),"")</f>
        <v>#REF!</v>
      </c>
      <c r="AE18" s="40" t="e">
        <f>IF(AND(#REF!="Alta",#REF!="Mayor"),CONCATENATE("R3C",#REF!),"")</f>
        <v>#REF!</v>
      </c>
      <c r="AF18" s="40" t="e">
        <f>IF(AND(#REF!="Alta",#REF!="Mayor"),CONCATENATE("R3C",#REF!),"")</f>
        <v>#REF!</v>
      </c>
      <c r="AG18" s="41" t="e">
        <f>IF(AND(#REF!="Alta",#REF!="Mayor"),CONCATENATE("R3C",#REF!),"")</f>
        <v>#REF!</v>
      </c>
      <c r="AH18" s="42" t="e">
        <f>IF(AND(#REF!="Alta",#REF!="Catastrófico"),CONCATENATE("R3C",#REF!),"")</f>
        <v>#REF!</v>
      </c>
      <c r="AI18" s="43" t="e">
        <f>IF(AND(#REF!="Alta",#REF!="Catastrófico"),CONCATENATE("R3C",#REF!),"")</f>
        <v>#REF!</v>
      </c>
      <c r="AJ18" s="43" t="e">
        <f>IF(AND(#REF!="Alta",#REF!="Catastrófico"),CONCATENATE("R3C",#REF!),"")</f>
        <v>#REF!</v>
      </c>
      <c r="AK18" s="43" t="e">
        <f>IF(AND(#REF!="Alta",#REF!="Catastrófico"),CONCATENATE("R3C",#REF!),"")</f>
        <v>#REF!</v>
      </c>
      <c r="AL18" s="43" t="e">
        <f>IF(AND(#REF!="Alta",#REF!="Catastrófico"),CONCATENATE("R3C",#REF!),"")</f>
        <v>#REF!</v>
      </c>
      <c r="AM18" s="44" t="e">
        <f>IF(AND(#REF!="Alta",#REF!="Catastrófico"),CONCATENATE("R3C",#REF!),"")</f>
        <v>#REF!</v>
      </c>
      <c r="AN18" s="70"/>
      <c r="AO18" s="697"/>
      <c r="AP18" s="698"/>
      <c r="AQ18" s="698"/>
      <c r="AR18" s="698"/>
      <c r="AS18" s="698"/>
      <c r="AT18" s="699"/>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646"/>
      <c r="C19" s="646"/>
      <c r="D19" s="647"/>
      <c r="E19" s="687"/>
      <c r="F19" s="688"/>
      <c r="G19" s="688"/>
      <c r="H19" s="688"/>
      <c r="I19" s="688"/>
      <c r="J19" s="54" t="e">
        <f>IF(AND(#REF!="Alta",#REF!="Leve"),CONCATENATE("R4C",#REF!),"")</f>
        <v>#REF!</v>
      </c>
      <c r="K19" s="55" t="e">
        <f>IF(AND(#REF!="Alta",#REF!="Leve"),CONCATENATE("R4C",#REF!),"")</f>
        <v>#REF!</v>
      </c>
      <c r="L19" s="55" t="e">
        <f>IF(AND(#REF!="Alta",#REF!="Leve"),CONCATENATE("R4C",#REF!),"")</f>
        <v>#REF!</v>
      </c>
      <c r="M19" s="55" t="e">
        <f>IF(AND(#REF!="Alta",#REF!="Leve"),CONCATENATE("R4C",#REF!),"")</f>
        <v>#REF!</v>
      </c>
      <c r="N19" s="55" t="e">
        <f>IF(AND(#REF!="Alta",#REF!="Leve"),CONCATENATE("R4C",#REF!),"")</f>
        <v>#REF!</v>
      </c>
      <c r="O19" s="56" t="e">
        <f>IF(AND(#REF!="Alta",#REF!="Leve"),CONCATENATE("R4C",#REF!),"")</f>
        <v>#REF!</v>
      </c>
      <c r="P19" s="54" t="e">
        <f>IF(AND(#REF!="Alta",#REF!="Menor"),CONCATENATE("R4C",#REF!),"")</f>
        <v>#REF!</v>
      </c>
      <c r="Q19" s="55" t="e">
        <f>IF(AND(#REF!="Alta",#REF!="Menor"),CONCATENATE("R4C",#REF!),"")</f>
        <v>#REF!</v>
      </c>
      <c r="R19" s="55" t="e">
        <f>IF(AND(#REF!="Alta",#REF!="Menor"),CONCATENATE("R4C",#REF!),"")</f>
        <v>#REF!</v>
      </c>
      <c r="S19" s="55" t="e">
        <f>IF(AND(#REF!="Alta",#REF!="Menor"),CONCATENATE("R4C",#REF!),"")</f>
        <v>#REF!</v>
      </c>
      <c r="T19" s="55" t="e">
        <f>IF(AND(#REF!="Alta",#REF!="Menor"),CONCATENATE("R4C",#REF!),"")</f>
        <v>#REF!</v>
      </c>
      <c r="U19" s="56" t="e">
        <f>IF(AND(#REF!="Alta",#REF!="Menor"),CONCATENATE("R4C",#REF!),"")</f>
        <v>#REF!</v>
      </c>
      <c r="V19" s="39" t="e">
        <f>IF(AND(#REF!="Alta",#REF!="Moderado"),CONCATENATE("R4C",#REF!),"")</f>
        <v>#REF!</v>
      </c>
      <c r="W19" s="40" t="e">
        <f>IF(AND(#REF!="Alta",#REF!="Moderado"),CONCATENATE("R4C",#REF!),"")</f>
        <v>#REF!</v>
      </c>
      <c r="X19" s="40" t="e">
        <f>IF(AND(#REF!="Alta",#REF!="Moderado"),CONCATENATE("R4C",#REF!),"")</f>
        <v>#REF!</v>
      </c>
      <c r="Y19" s="40" t="e">
        <f>IF(AND(#REF!="Alta",#REF!="Moderado"),CONCATENATE("R4C",#REF!),"")</f>
        <v>#REF!</v>
      </c>
      <c r="Z19" s="40" t="e">
        <f>IF(AND(#REF!="Alta",#REF!="Moderado"),CONCATENATE("R4C",#REF!),"")</f>
        <v>#REF!</v>
      </c>
      <c r="AA19" s="41" t="e">
        <f>IF(AND(#REF!="Alta",#REF!="Moderado"),CONCATENATE("R4C",#REF!),"")</f>
        <v>#REF!</v>
      </c>
      <c r="AB19" s="39" t="e">
        <f>IF(AND(#REF!="Alta",#REF!="Mayor"),CONCATENATE("R4C",#REF!),"")</f>
        <v>#REF!</v>
      </c>
      <c r="AC19" s="40" t="e">
        <f>IF(AND(#REF!="Alta",#REF!="Mayor"),CONCATENATE("R4C",#REF!),"")</f>
        <v>#REF!</v>
      </c>
      <c r="AD19" s="40" t="e">
        <f>IF(AND(#REF!="Alta",#REF!="Mayor"),CONCATENATE("R4C",#REF!),"")</f>
        <v>#REF!</v>
      </c>
      <c r="AE19" s="40" t="e">
        <f>IF(AND(#REF!="Alta",#REF!="Mayor"),CONCATENATE("R4C",#REF!),"")</f>
        <v>#REF!</v>
      </c>
      <c r="AF19" s="40" t="e">
        <f>IF(AND(#REF!="Alta",#REF!="Mayor"),CONCATENATE("R4C",#REF!),"")</f>
        <v>#REF!</v>
      </c>
      <c r="AG19" s="41" t="e">
        <f>IF(AND(#REF!="Alta",#REF!="Mayor"),CONCATENATE("R4C",#REF!),"")</f>
        <v>#REF!</v>
      </c>
      <c r="AH19" s="42" t="e">
        <f>IF(AND(#REF!="Alta",#REF!="Catastrófico"),CONCATENATE("R4C",#REF!),"")</f>
        <v>#REF!</v>
      </c>
      <c r="AI19" s="43" t="e">
        <f>IF(AND(#REF!="Alta",#REF!="Catastrófico"),CONCATENATE("R4C",#REF!),"")</f>
        <v>#REF!</v>
      </c>
      <c r="AJ19" s="43" t="e">
        <f>IF(AND(#REF!="Alta",#REF!="Catastrófico"),CONCATENATE("R4C",#REF!),"")</f>
        <v>#REF!</v>
      </c>
      <c r="AK19" s="43" t="e">
        <f>IF(AND(#REF!="Alta",#REF!="Catastrófico"),CONCATENATE("R4C",#REF!),"")</f>
        <v>#REF!</v>
      </c>
      <c r="AL19" s="43" t="e">
        <f>IF(AND(#REF!="Alta",#REF!="Catastrófico"),CONCATENATE("R4C",#REF!),"")</f>
        <v>#REF!</v>
      </c>
      <c r="AM19" s="44" t="e">
        <f>IF(AND(#REF!="Alta",#REF!="Catastrófico"),CONCATENATE("R4C",#REF!),"")</f>
        <v>#REF!</v>
      </c>
      <c r="AN19" s="70"/>
      <c r="AO19" s="697"/>
      <c r="AP19" s="698"/>
      <c r="AQ19" s="698"/>
      <c r="AR19" s="698"/>
      <c r="AS19" s="698"/>
      <c r="AT19" s="699"/>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646"/>
      <c r="C20" s="646"/>
      <c r="D20" s="647"/>
      <c r="E20" s="687"/>
      <c r="F20" s="688"/>
      <c r="G20" s="688"/>
      <c r="H20" s="688"/>
      <c r="I20" s="688"/>
      <c r="J20" s="54" t="e">
        <f>IF(AND(#REF!="Alta",#REF!="Leve"),CONCATENATE("R5C",#REF!),"")</f>
        <v>#REF!</v>
      </c>
      <c r="K20" s="55" t="e">
        <f>IF(AND(#REF!="Alta",#REF!="Leve"),CONCATENATE("R5C",#REF!),"")</f>
        <v>#REF!</v>
      </c>
      <c r="L20" s="55" t="e">
        <f>IF(AND(#REF!="Alta",#REF!="Leve"),CONCATENATE("R5C",#REF!),"")</f>
        <v>#REF!</v>
      </c>
      <c r="M20" s="55" t="e">
        <f>IF(AND(#REF!="Alta",#REF!="Leve"),CONCATENATE("R5C",#REF!),"")</f>
        <v>#REF!</v>
      </c>
      <c r="N20" s="55" t="e">
        <f>IF(AND(#REF!="Alta",#REF!="Leve"),CONCATENATE("R5C",#REF!),"")</f>
        <v>#REF!</v>
      </c>
      <c r="O20" s="56" t="e">
        <f>IF(AND(#REF!="Alta",#REF!="Leve"),CONCATENATE("R5C",#REF!),"")</f>
        <v>#REF!</v>
      </c>
      <c r="P20" s="54" t="e">
        <f>IF(AND(#REF!="Alta",#REF!="Menor"),CONCATENATE("R5C",#REF!),"")</f>
        <v>#REF!</v>
      </c>
      <c r="Q20" s="55" t="e">
        <f>IF(AND(#REF!="Alta",#REF!="Menor"),CONCATENATE("R5C",#REF!),"")</f>
        <v>#REF!</v>
      </c>
      <c r="R20" s="55" t="e">
        <f>IF(AND(#REF!="Alta",#REF!="Menor"),CONCATENATE("R5C",#REF!),"")</f>
        <v>#REF!</v>
      </c>
      <c r="S20" s="55" t="e">
        <f>IF(AND(#REF!="Alta",#REF!="Menor"),CONCATENATE("R5C",#REF!),"")</f>
        <v>#REF!</v>
      </c>
      <c r="T20" s="55" t="e">
        <f>IF(AND(#REF!="Alta",#REF!="Menor"),CONCATENATE("R5C",#REF!),"")</f>
        <v>#REF!</v>
      </c>
      <c r="U20" s="56" t="e">
        <f>IF(AND(#REF!="Alta",#REF!="Menor"),CONCATENATE("R5C",#REF!),"")</f>
        <v>#REF!</v>
      </c>
      <c r="V20" s="39" t="e">
        <f>IF(AND(#REF!="Alta",#REF!="Moderado"),CONCATENATE("R5C",#REF!),"")</f>
        <v>#REF!</v>
      </c>
      <c r="W20" s="40" t="e">
        <f>IF(AND(#REF!="Alta",#REF!="Moderado"),CONCATENATE("R5C",#REF!),"")</f>
        <v>#REF!</v>
      </c>
      <c r="X20" s="40" t="e">
        <f>IF(AND(#REF!="Alta",#REF!="Moderado"),CONCATENATE("R5C",#REF!),"")</f>
        <v>#REF!</v>
      </c>
      <c r="Y20" s="40" t="e">
        <f>IF(AND(#REF!="Alta",#REF!="Moderado"),CONCATENATE("R5C",#REF!),"")</f>
        <v>#REF!</v>
      </c>
      <c r="Z20" s="40" t="e">
        <f>IF(AND(#REF!="Alta",#REF!="Moderado"),CONCATENATE("R5C",#REF!),"")</f>
        <v>#REF!</v>
      </c>
      <c r="AA20" s="41" t="e">
        <f>IF(AND(#REF!="Alta",#REF!="Moderado"),CONCATENATE("R5C",#REF!),"")</f>
        <v>#REF!</v>
      </c>
      <c r="AB20" s="39" t="e">
        <f>IF(AND(#REF!="Alta",#REF!="Mayor"),CONCATENATE("R5C",#REF!),"")</f>
        <v>#REF!</v>
      </c>
      <c r="AC20" s="40" t="e">
        <f>IF(AND(#REF!="Alta",#REF!="Mayor"),CONCATENATE("R5C",#REF!),"")</f>
        <v>#REF!</v>
      </c>
      <c r="AD20" s="40" t="e">
        <f>IF(AND(#REF!="Alta",#REF!="Mayor"),CONCATENATE("R5C",#REF!),"")</f>
        <v>#REF!</v>
      </c>
      <c r="AE20" s="40" t="e">
        <f>IF(AND(#REF!="Alta",#REF!="Mayor"),CONCATENATE("R5C",#REF!),"")</f>
        <v>#REF!</v>
      </c>
      <c r="AF20" s="40" t="e">
        <f>IF(AND(#REF!="Alta",#REF!="Mayor"),CONCATENATE("R5C",#REF!),"")</f>
        <v>#REF!</v>
      </c>
      <c r="AG20" s="41" t="e">
        <f>IF(AND(#REF!="Alta",#REF!="Mayor"),CONCATENATE("R5C",#REF!),"")</f>
        <v>#REF!</v>
      </c>
      <c r="AH20" s="42" t="e">
        <f>IF(AND(#REF!="Alta",#REF!="Catastrófico"),CONCATENATE("R5C",#REF!),"")</f>
        <v>#REF!</v>
      </c>
      <c r="AI20" s="43" t="e">
        <f>IF(AND(#REF!="Alta",#REF!="Catastrófico"),CONCATENATE("R5C",#REF!),"")</f>
        <v>#REF!</v>
      </c>
      <c r="AJ20" s="43" t="e">
        <f>IF(AND(#REF!="Alta",#REF!="Catastrófico"),CONCATENATE("R5C",#REF!),"")</f>
        <v>#REF!</v>
      </c>
      <c r="AK20" s="43" t="e">
        <f>IF(AND(#REF!="Alta",#REF!="Catastrófico"),CONCATENATE("R5C",#REF!),"")</f>
        <v>#REF!</v>
      </c>
      <c r="AL20" s="43" t="e">
        <f>IF(AND(#REF!="Alta",#REF!="Catastrófico"),CONCATENATE("R5C",#REF!),"")</f>
        <v>#REF!</v>
      </c>
      <c r="AM20" s="44" t="e">
        <f>IF(AND(#REF!="Alta",#REF!="Catastrófico"),CONCATENATE("R5C",#REF!),"")</f>
        <v>#REF!</v>
      </c>
      <c r="AN20" s="70"/>
      <c r="AO20" s="697"/>
      <c r="AP20" s="698"/>
      <c r="AQ20" s="698"/>
      <c r="AR20" s="698"/>
      <c r="AS20" s="698"/>
      <c r="AT20" s="699"/>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646"/>
      <c r="C21" s="646"/>
      <c r="D21" s="647"/>
      <c r="E21" s="687"/>
      <c r="F21" s="688"/>
      <c r="G21" s="688"/>
      <c r="H21" s="688"/>
      <c r="I21" s="688"/>
      <c r="J21" s="54" t="e">
        <f>IF(AND(#REF!="Alta",#REF!="Leve"),CONCATENATE("R6C",#REF!),"")</f>
        <v>#REF!</v>
      </c>
      <c r="K21" s="55" t="e">
        <f>IF(AND(#REF!="Alta",#REF!="Leve"),CONCATENATE("R6C",#REF!),"")</f>
        <v>#REF!</v>
      </c>
      <c r="L21" s="55" t="e">
        <f>IF(AND(#REF!="Alta",#REF!="Leve"),CONCATENATE("R6C",#REF!),"")</f>
        <v>#REF!</v>
      </c>
      <c r="M21" s="55" t="e">
        <f>IF(AND(#REF!="Alta",#REF!="Leve"),CONCATENATE("R6C",#REF!),"")</f>
        <v>#REF!</v>
      </c>
      <c r="N21" s="55" t="e">
        <f>IF(AND(#REF!="Alta",#REF!="Leve"),CONCATENATE("R6C",#REF!),"")</f>
        <v>#REF!</v>
      </c>
      <c r="O21" s="56" t="e">
        <f>IF(AND(#REF!="Alta",#REF!="Leve"),CONCATENATE("R6C",#REF!),"")</f>
        <v>#REF!</v>
      </c>
      <c r="P21" s="54" t="e">
        <f>IF(AND(#REF!="Alta",#REF!="Menor"),CONCATENATE("R6C",#REF!),"")</f>
        <v>#REF!</v>
      </c>
      <c r="Q21" s="55" t="e">
        <f>IF(AND(#REF!="Alta",#REF!="Menor"),CONCATENATE("R6C",#REF!),"")</f>
        <v>#REF!</v>
      </c>
      <c r="R21" s="55" t="e">
        <f>IF(AND(#REF!="Alta",#REF!="Menor"),CONCATENATE("R6C",#REF!),"")</f>
        <v>#REF!</v>
      </c>
      <c r="S21" s="55" t="e">
        <f>IF(AND(#REF!="Alta",#REF!="Menor"),CONCATENATE("R6C",#REF!),"")</f>
        <v>#REF!</v>
      </c>
      <c r="T21" s="55" t="e">
        <f>IF(AND(#REF!="Alta",#REF!="Menor"),CONCATENATE("R6C",#REF!),"")</f>
        <v>#REF!</v>
      </c>
      <c r="U21" s="56" t="e">
        <f>IF(AND(#REF!="Alta",#REF!="Menor"),CONCATENATE("R6C",#REF!),"")</f>
        <v>#REF!</v>
      </c>
      <c r="V21" s="39" t="e">
        <f>IF(AND(#REF!="Alta",#REF!="Moderado"),CONCATENATE("R6C",#REF!),"")</f>
        <v>#REF!</v>
      </c>
      <c r="W21" s="40" t="e">
        <f>IF(AND(#REF!="Alta",#REF!="Moderado"),CONCATENATE("R6C",#REF!),"")</f>
        <v>#REF!</v>
      </c>
      <c r="X21" s="40" t="e">
        <f>IF(AND(#REF!="Alta",#REF!="Moderado"),CONCATENATE("R6C",#REF!),"")</f>
        <v>#REF!</v>
      </c>
      <c r="Y21" s="40" t="e">
        <f>IF(AND(#REF!="Alta",#REF!="Moderado"),CONCATENATE("R6C",#REF!),"")</f>
        <v>#REF!</v>
      </c>
      <c r="Z21" s="40" t="e">
        <f>IF(AND(#REF!="Alta",#REF!="Moderado"),CONCATENATE("R6C",#REF!),"")</f>
        <v>#REF!</v>
      </c>
      <c r="AA21" s="41" t="e">
        <f>IF(AND(#REF!="Alta",#REF!="Moderado"),CONCATENATE("R6C",#REF!),"")</f>
        <v>#REF!</v>
      </c>
      <c r="AB21" s="39" t="e">
        <f>IF(AND(#REF!="Alta",#REF!="Mayor"),CONCATENATE("R6C",#REF!),"")</f>
        <v>#REF!</v>
      </c>
      <c r="AC21" s="40" t="e">
        <f>IF(AND(#REF!="Alta",#REF!="Mayor"),CONCATENATE("R6C",#REF!),"")</f>
        <v>#REF!</v>
      </c>
      <c r="AD21" s="40" t="e">
        <f>IF(AND(#REF!="Alta",#REF!="Mayor"),CONCATENATE("R6C",#REF!),"")</f>
        <v>#REF!</v>
      </c>
      <c r="AE21" s="40" t="e">
        <f>IF(AND(#REF!="Alta",#REF!="Mayor"),CONCATENATE("R6C",#REF!),"")</f>
        <v>#REF!</v>
      </c>
      <c r="AF21" s="40" t="e">
        <f>IF(AND(#REF!="Alta",#REF!="Mayor"),CONCATENATE("R6C",#REF!),"")</f>
        <v>#REF!</v>
      </c>
      <c r="AG21" s="41" t="e">
        <f>IF(AND(#REF!="Alta",#REF!="Mayor"),CONCATENATE("R6C",#REF!),"")</f>
        <v>#REF!</v>
      </c>
      <c r="AH21" s="42" t="e">
        <f>IF(AND(#REF!="Alta",#REF!="Catastrófico"),CONCATENATE("R6C",#REF!),"")</f>
        <v>#REF!</v>
      </c>
      <c r="AI21" s="43" t="e">
        <f>IF(AND(#REF!="Alta",#REF!="Catastrófico"),CONCATENATE("R6C",#REF!),"")</f>
        <v>#REF!</v>
      </c>
      <c r="AJ21" s="43" t="e">
        <f>IF(AND(#REF!="Alta",#REF!="Catastrófico"),CONCATENATE("R6C",#REF!),"")</f>
        <v>#REF!</v>
      </c>
      <c r="AK21" s="43" t="e">
        <f>IF(AND(#REF!="Alta",#REF!="Catastrófico"),CONCATENATE("R6C",#REF!),"")</f>
        <v>#REF!</v>
      </c>
      <c r="AL21" s="43" t="e">
        <f>IF(AND(#REF!="Alta",#REF!="Catastrófico"),CONCATENATE("R6C",#REF!),"")</f>
        <v>#REF!</v>
      </c>
      <c r="AM21" s="44" t="e">
        <f>IF(AND(#REF!="Alta",#REF!="Catastrófico"),CONCATENATE("R6C",#REF!),"")</f>
        <v>#REF!</v>
      </c>
      <c r="AN21" s="70"/>
      <c r="AO21" s="697"/>
      <c r="AP21" s="698"/>
      <c r="AQ21" s="698"/>
      <c r="AR21" s="698"/>
      <c r="AS21" s="698"/>
      <c r="AT21" s="699"/>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646"/>
      <c r="C22" s="646"/>
      <c r="D22" s="647"/>
      <c r="E22" s="687"/>
      <c r="F22" s="688"/>
      <c r="G22" s="688"/>
      <c r="H22" s="688"/>
      <c r="I22" s="688"/>
      <c r="J22" s="54" t="e">
        <f>IF(AND(#REF!="Alta",#REF!="Leve"),CONCATENATE("R7C",#REF!),"")</f>
        <v>#REF!</v>
      </c>
      <c r="K22" s="55" t="e">
        <f>IF(AND(#REF!="Alta",#REF!="Leve"),CONCATENATE("R7C",#REF!),"")</f>
        <v>#REF!</v>
      </c>
      <c r="L22" s="55" t="e">
        <f>IF(AND(#REF!="Alta",#REF!="Leve"),CONCATENATE("R7C",#REF!),"")</f>
        <v>#REF!</v>
      </c>
      <c r="M22" s="55" t="e">
        <f>IF(AND(#REF!="Alta",#REF!="Leve"),CONCATENATE("R7C",#REF!),"")</f>
        <v>#REF!</v>
      </c>
      <c r="N22" s="55" t="e">
        <f>IF(AND(#REF!="Alta",#REF!="Leve"),CONCATENATE("R7C",#REF!),"")</f>
        <v>#REF!</v>
      </c>
      <c r="O22" s="56" t="e">
        <f>IF(AND(#REF!="Alta",#REF!="Leve"),CONCATENATE("R7C",#REF!),"")</f>
        <v>#REF!</v>
      </c>
      <c r="P22" s="54" t="e">
        <f>IF(AND(#REF!="Alta",#REF!="Menor"),CONCATENATE("R7C",#REF!),"")</f>
        <v>#REF!</v>
      </c>
      <c r="Q22" s="55" t="e">
        <f>IF(AND(#REF!="Alta",#REF!="Menor"),CONCATENATE("R7C",#REF!),"")</f>
        <v>#REF!</v>
      </c>
      <c r="R22" s="55" t="e">
        <f>IF(AND(#REF!="Alta",#REF!="Menor"),CONCATENATE("R7C",#REF!),"")</f>
        <v>#REF!</v>
      </c>
      <c r="S22" s="55" t="e">
        <f>IF(AND(#REF!="Alta",#REF!="Menor"),CONCATENATE("R7C",#REF!),"")</f>
        <v>#REF!</v>
      </c>
      <c r="T22" s="55" t="e">
        <f>IF(AND(#REF!="Alta",#REF!="Menor"),CONCATENATE("R7C",#REF!),"")</f>
        <v>#REF!</v>
      </c>
      <c r="U22" s="56" t="e">
        <f>IF(AND(#REF!="Alta",#REF!="Menor"),CONCATENATE("R7C",#REF!),"")</f>
        <v>#REF!</v>
      </c>
      <c r="V22" s="39" t="e">
        <f>IF(AND(#REF!="Alta",#REF!="Moderado"),CONCATENATE("R7C",#REF!),"")</f>
        <v>#REF!</v>
      </c>
      <c r="W22" s="40" t="e">
        <f>IF(AND(#REF!="Alta",#REF!="Moderado"),CONCATENATE("R7C",#REF!),"")</f>
        <v>#REF!</v>
      </c>
      <c r="X22" s="40" t="e">
        <f>IF(AND(#REF!="Alta",#REF!="Moderado"),CONCATENATE("R7C",#REF!),"")</f>
        <v>#REF!</v>
      </c>
      <c r="Y22" s="40" t="e">
        <f>IF(AND(#REF!="Alta",#REF!="Moderado"),CONCATENATE("R7C",#REF!),"")</f>
        <v>#REF!</v>
      </c>
      <c r="Z22" s="40" t="e">
        <f>IF(AND(#REF!="Alta",#REF!="Moderado"),CONCATENATE("R7C",#REF!),"")</f>
        <v>#REF!</v>
      </c>
      <c r="AA22" s="41" t="e">
        <f>IF(AND(#REF!="Alta",#REF!="Moderado"),CONCATENATE("R7C",#REF!),"")</f>
        <v>#REF!</v>
      </c>
      <c r="AB22" s="39" t="e">
        <f>IF(AND(#REF!="Alta",#REF!="Mayor"),CONCATENATE("R7C",#REF!),"")</f>
        <v>#REF!</v>
      </c>
      <c r="AC22" s="40" t="e">
        <f>IF(AND(#REF!="Alta",#REF!="Mayor"),CONCATENATE("R7C",#REF!),"")</f>
        <v>#REF!</v>
      </c>
      <c r="AD22" s="40" t="e">
        <f>IF(AND(#REF!="Alta",#REF!="Mayor"),CONCATENATE("R7C",#REF!),"")</f>
        <v>#REF!</v>
      </c>
      <c r="AE22" s="40" t="e">
        <f>IF(AND(#REF!="Alta",#REF!="Mayor"),CONCATENATE("R7C",#REF!),"")</f>
        <v>#REF!</v>
      </c>
      <c r="AF22" s="40" t="e">
        <f>IF(AND(#REF!="Alta",#REF!="Mayor"),CONCATENATE("R7C",#REF!),"")</f>
        <v>#REF!</v>
      </c>
      <c r="AG22" s="41" t="e">
        <f>IF(AND(#REF!="Alta",#REF!="Mayor"),CONCATENATE("R7C",#REF!),"")</f>
        <v>#REF!</v>
      </c>
      <c r="AH22" s="42" t="e">
        <f>IF(AND(#REF!="Alta",#REF!="Catastrófico"),CONCATENATE("R7C",#REF!),"")</f>
        <v>#REF!</v>
      </c>
      <c r="AI22" s="43" t="e">
        <f>IF(AND(#REF!="Alta",#REF!="Catastrófico"),CONCATENATE("R7C",#REF!),"")</f>
        <v>#REF!</v>
      </c>
      <c r="AJ22" s="43" t="e">
        <f>IF(AND(#REF!="Alta",#REF!="Catastrófico"),CONCATENATE("R7C",#REF!),"")</f>
        <v>#REF!</v>
      </c>
      <c r="AK22" s="43" t="e">
        <f>IF(AND(#REF!="Alta",#REF!="Catastrófico"),CONCATENATE("R7C",#REF!),"")</f>
        <v>#REF!</v>
      </c>
      <c r="AL22" s="43" t="e">
        <f>IF(AND(#REF!="Alta",#REF!="Catastrófico"),CONCATENATE("R7C",#REF!),"")</f>
        <v>#REF!</v>
      </c>
      <c r="AM22" s="44" t="e">
        <f>IF(AND(#REF!="Alta",#REF!="Catastrófico"),CONCATENATE("R7C",#REF!),"")</f>
        <v>#REF!</v>
      </c>
      <c r="AN22" s="70"/>
      <c r="AO22" s="697"/>
      <c r="AP22" s="698"/>
      <c r="AQ22" s="698"/>
      <c r="AR22" s="698"/>
      <c r="AS22" s="698"/>
      <c r="AT22" s="69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646"/>
      <c r="C23" s="646"/>
      <c r="D23" s="647"/>
      <c r="E23" s="687"/>
      <c r="F23" s="688"/>
      <c r="G23" s="688"/>
      <c r="H23" s="688"/>
      <c r="I23" s="688"/>
      <c r="J23" s="54" t="e">
        <f>IF(AND(#REF!="Alta",#REF!="Leve"),CONCATENATE("R8C",#REF!),"")</f>
        <v>#REF!</v>
      </c>
      <c r="K23" s="55" t="e">
        <f>IF(AND(#REF!="Alta",#REF!="Leve"),CONCATENATE("R8C",#REF!),"")</f>
        <v>#REF!</v>
      </c>
      <c r="L23" s="55" t="e">
        <f>IF(AND(#REF!="Alta",#REF!="Leve"),CONCATENATE("R8C",#REF!),"")</f>
        <v>#REF!</v>
      </c>
      <c r="M23" s="55" t="e">
        <f>IF(AND(#REF!="Alta",#REF!="Leve"),CONCATENATE("R8C",#REF!),"")</f>
        <v>#REF!</v>
      </c>
      <c r="N23" s="55" t="e">
        <f>IF(AND(#REF!="Alta",#REF!="Leve"),CONCATENATE("R8C",#REF!),"")</f>
        <v>#REF!</v>
      </c>
      <c r="O23" s="56" t="e">
        <f>IF(AND(#REF!="Alta",#REF!="Leve"),CONCATENATE("R8C",#REF!),"")</f>
        <v>#REF!</v>
      </c>
      <c r="P23" s="54" t="e">
        <f>IF(AND(#REF!="Alta",#REF!="Menor"),CONCATENATE("R8C",#REF!),"")</f>
        <v>#REF!</v>
      </c>
      <c r="Q23" s="55" t="e">
        <f>IF(AND(#REF!="Alta",#REF!="Menor"),CONCATENATE("R8C",#REF!),"")</f>
        <v>#REF!</v>
      </c>
      <c r="R23" s="55" t="e">
        <f>IF(AND(#REF!="Alta",#REF!="Menor"),CONCATENATE("R8C",#REF!),"")</f>
        <v>#REF!</v>
      </c>
      <c r="S23" s="55" t="e">
        <f>IF(AND(#REF!="Alta",#REF!="Menor"),CONCATENATE("R8C",#REF!),"")</f>
        <v>#REF!</v>
      </c>
      <c r="T23" s="55" t="e">
        <f>IF(AND(#REF!="Alta",#REF!="Menor"),CONCATENATE("R8C",#REF!),"")</f>
        <v>#REF!</v>
      </c>
      <c r="U23" s="56" t="e">
        <f>IF(AND(#REF!="Alta",#REF!="Menor"),CONCATENATE("R8C",#REF!),"")</f>
        <v>#REF!</v>
      </c>
      <c r="V23" s="39" t="e">
        <f>IF(AND(#REF!="Alta",#REF!="Moderado"),CONCATENATE("R8C",#REF!),"")</f>
        <v>#REF!</v>
      </c>
      <c r="W23" s="40" t="e">
        <f>IF(AND(#REF!="Alta",#REF!="Moderado"),CONCATENATE("R8C",#REF!),"")</f>
        <v>#REF!</v>
      </c>
      <c r="X23" s="40" t="e">
        <f>IF(AND(#REF!="Alta",#REF!="Moderado"),CONCATENATE("R8C",#REF!),"")</f>
        <v>#REF!</v>
      </c>
      <c r="Y23" s="40" t="e">
        <f>IF(AND(#REF!="Alta",#REF!="Moderado"),CONCATENATE("R8C",#REF!),"")</f>
        <v>#REF!</v>
      </c>
      <c r="Z23" s="40" t="e">
        <f>IF(AND(#REF!="Alta",#REF!="Moderado"),CONCATENATE("R8C",#REF!),"")</f>
        <v>#REF!</v>
      </c>
      <c r="AA23" s="41" t="e">
        <f>IF(AND(#REF!="Alta",#REF!="Moderado"),CONCATENATE("R8C",#REF!),"")</f>
        <v>#REF!</v>
      </c>
      <c r="AB23" s="39" t="e">
        <f>IF(AND(#REF!="Alta",#REF!="Mayor"),CONCATENATE("R8C",#REF!),"")</f>
        <v>#REF!</v>
      </c>
      <c r="AC23" s="40" t="e">
        <f>IF(AND(#REF!="Alta",#REF!="Mayor"),CONCATENATE("R8C",#REF!),"")</f>
        <v>#REF!</v>
      </c>
      <c r="AD23" s="40" t="e">
        <f>IF(AND(#REF!="Alta",#REF!="Mayor"),CONCATENATE("R8C",#REF!),"")</f>
        <v>#REF!</v>
      </c>
      <c r="AE23" s="40" t="e">
        <f>IF(AND(#REF!="Alta",#REF!="Mayor"),CONCATENATE("R8C",#REF!),"")</f>
        <v>#REF!</v>
      </c>
      <c r="AF23" s="40" t="e">
        <f>IF(AND(#REF!="Alta",#REF!="Mayor"),CONCATENATE("R8C",#REF!),"")</f>
        <v>#REF!</v>
      </c>
      <c r="AG23" s="41" t="e">
        <f>IF(AND(#REF!="Alta",#REF!="Mayor"),CONCATENATE("R8C",#REF!),"")</f>
        <v>#REF!</v>
      </c>
      <c r="AH23" s="42" t="e">
        <f>IF(AND(#REF!="Alta",#REF!="Catastrófico"),CONCATENATE("R8C",#REF!),"")</f>
        <v>#REF!</v>
      </c>
      <c r="AI23" s="43" t="e">
        <f>IF(AND(#REF!="Alta",#REF!="Catastrófico"),CONCATENATE("R8C",#REF!),"")</f>
        <v>#REF!</v>
      </c>
      <c r="AJ23" s="43" t="e">
        <f>IF(AND(#REF!="Alta",#REF!="Catastrófico"),CONCATENATE("R8C",#REF!),"")</f>
        <v>#REF!</v>
      </c>
      <c r="AK23" s="43" t="e">
        <f>IF(AND(#REF!="Alta",#REF!="Catastrófico"),CONCATENATE("R8C",#REF!),"")</f>
        <v>#REF!</v>
      </c>
      <c r="AL23" s="43" t="e">
        <f>IF(AND(#REF!="Alta",#REF!="Catastrófico"),CONCATENATE("R8C",#REF!),"")</f>
        <v>#REF!</v>
      </c>
      <c r="AM23" s="44" t="e">
        <f>IF(AND(#REF!="Alta",#REF!="Catastrófico"),CONCATENATE("R8C",#REF!),"")</f>
        <v>#REF!</v>
      </c>
      <c r="AN23" s="70"/>
      <c r="AO23" s="697"/>
      <c r="AP23" s="698"/>
      <c r="AQ23" s="698"/>
      <c r="AR23" s="698"/>
      <c r="AS23" s="698"/>
      <c r="AT23" s="699"/>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646"/>
      <c r="C24" s="646"/>
      <c r="D24" s="647"/>
      <c r="E24" s="687"/>
      <c r="F24" s="688"/>
      <c r="G24" s="688"/>
      <c r="H24" s="688"/>
      <c r="I24" s="688"/>
      <c r="J24" s="54" t="e">
        <f>IF(AND(#REF!="Alta",#REF!="Leve"),CONCATENATE("R9C",#REF!),"")</f>
        <v>#REF!</v>
      </c>
      <c r="K24" s="55" t="e">
        <f>IF(AND(#REF!="Alta",#REF!="Leve"),CONCATENATE("R9C",#REF!),"")</f>
        <v>#REF!</v>
      </c>
      <c r="L24" s="55" t="e">
        <f>IF(AND(#REF!="Alta",#REF!="Leve"),CONCATENATE("R9C",#REF!),"")</f>
        <v>#REF!</v>
      </c>
      <c r="M24" s="55" t="e">
        <f>IF(AND(#REF!="Alta",#REF!="Leve"),CONCATENATE("R9C",#REF!),"")</f>
        <v>#REF!</v>
      </c>
      <c r="N24" s="55" t="e">
        <f>IF(AND(#REF!="Alta",#REF!="Leve"),CONCATENATE("R9C",#REF!),"")</f>
        <v>#REF!</v>
      </c>
      <c r="O24" s="56" t="e">
        <f>IF(AND(#REF!="Alta",#REF!="Leve"),CONCATENATE("R9C",#REF!),"")</f>
        <v>#REF!</v>
      </c>
      <c r="P24" s="54" t="e">
        <f>IF(AND(#REF!="Alta",#REF!="Menor"),CONCATENATE("R9C",#REF!),"")</f>
        <v>#REF!</v>
      </c>
      <c r="Q24" s="55" t="e">
        <f>IF(AND(#REF!="Alta",#REF!="Menor"),CONCATENATE("R9C",#REF!),"")</f>
        <v>#REF!</v>
      </c>
      <c r="R24" s="55" t="e">
        <f>IF(AND(#REF!="Alta",#REF!="Menor"),CONCATENATE("R9C",#REF!),"")</f>
        <v>#REF!</v>
      </c>
      <c r="S24" s="55" t="e">
        <f>IF(AND(#REF!="Alta",#REF!="Menor"),CONCATENATE("R9C",#REF!),"")</f>
        <v>#REF!</v>
      </c>
      <c r="T24" s="55" t="e">
        <f>IF(AND(#REF!="Alta",#REF!="Menor"),CONCATENATE("R9C",#REF!),"")</f>
        <v>#REF!</v>
      </c>
      <c r="U24" s="56" t="e">
        <f>IF(AND(#REF!="Alta",#REF!="Menor"),CONCATENATE("R9C",#REF!),"")</f>
        <v>#REF!</v>
      </c>
      <c r="V24" s="39" t="e">
        <f>IF(AND(#REF!="Alta",#REF!="Moderado"),CONCATENATE("R9C",#REF!),"")</f>
        <v>#REF!</v>
      </c>
      <c r="W24" s="40" t="e">
        <f>IF(AND(#REF!="Alta",#REF!="Moderado"),CONCATENATE("R9C",#REF!),"")</f>
        <v>#REF!</v>
      </c>
      <c r="X24" s="40" t="e">
        <f>IF(AND(#REF!="Alta",#REF!="Moderado"),CONCATENATE("R9C",#REF!),"")</f>
        <v>#REF!</v>
      </c>
      <c r="Y24" s="40" t="e">
        <f>IF(AND(#REF!="Alta",#REF!="Moderado"),CONCATENATE("R9C",#REF!),"")</f>
        <v>#REF!</v>
      </c>
      <c r="Z24" s="40" t="e">
        <f>IF(AND(#REF!="Alta",#REF!="Moderado"),CONCATENATE("R9C",#REF!),"")</f>
        <v>#REF!</v>
      </c>
      <c r="AA24" s="41" t="e">
        <f>IF(AND(#REF!="Alta",#REF!="Moderado"),CONCATENATE("R9C",#REF!),"")</f>
        <v>#REF!</v>
      </c>
      <c r="AB24" s="39" t="e">
        <f>IF(AND(#REF!="Alta",#REF!="Mayor"),CONCATENATE("R9C",#REF!),"")</f>
        <v>#REF!</v>
      </c>
      <c r="AC24" s="40" t="e">
        <f>IF(AND(#REF!="Alta",#REF!="Mayor"),CONCATENATE("R9C",#REF!),"")</f>
        <v>#REF!</v>
      </c>
      <c r="AD24" s="40" t="e">
        <f>IF(AND(#REF!="Alta",#REF!="Mayor"),CONCATENATE("R9C",#REF!),"")</f>
        <v>#REF!</v>
      </c>
      <c r="AE24" s="40" t="e">
        <f>IF(AND(#REF!="Alta",#REF!="Mayor"),CONCATENATE("R9C",#REF!),"")</f>
        <v>#REF!</v>
      </c>
      <c r="AF24" s="40" t="e">
        <f>IF(AND(#REF!="Alta",#REF!="Mayor"),CONCATENATE("R9C",#REF!),"")</f>
        <v>#REF!</v>
      </c>
      <c r="AG24" s="41" t="e">
        <f>IF(AND(#REF!="Alta",#REF!="Mayor"),CONCATENATE("R9C",#REF!),"")</f>
        <v>#REF!</v>
      </c>
      <c r="AH24" s="42" t="e">
        <f>IF(AND(#REF!="Alta",#REF!="Catastrófico"),CONCATENATE("R9C",#REF!),"")</f>
        <v>#REF!</v>
      </c>
      <c r="AI24" s="43" t="e">
        <f>IF(AND(#REF!="Alta",#REF!="Catastrófico"),CONCATENATE("R9C",#REF!),"")</f>
        <v>#REF!</v>
      </c>
      <c r="AJ24" s="43" t="e">
        <f>IF(AND(#REF!="Alta",#REF!="Catastrófico"),CONCATENATE("R9C",#REF!),"")</f>
        <v>#REF!</v>
      </c>
      <c r="AK24" s="43" t="e">
        <f>IF(AND(#REF!="Alta",#REF!="Catastrófico"),CONCATENATE("R9C",#REF!),"")</f>
        <v>#REF!</v>
      </c>
      <c r="AL24" s="43" t="e">
        <f>IF(AND(#REF!="Alta",#REF!="Catastrófico"),CONCATENATE("R9C",#REF!),"")</f>
        <v>#REF!</v>
      </c>
      <c r="AM24" s="44" t="e">
        <f>IF(AND(#REF!="Alta",#REF!="Catastrófico"),CONCATENATE("R9C",#REF!),"")</f>
        <v>#REF!</v>
      </c>
      <c r="AN24" s="70"/>
      <c r="AO24" s="697"/>
      <c r="AP24" s="698"/>
      <c r="AQ24" s="698"/>
      <c r="AR24" s="698"/>
      <c r="AS24" s="698"/>
      <c r="AT24" s="699"/>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646"/>
      <c r="C25" s="646"/>
      <c r="D25" s="647"/>
      <c r="E25" s="690"/>
      <c r="F25" s="691"/>
      <c r="G25" s="691"/>
      <c r="H25" s="691"/>
      <c r="I25" s="691"/>
      <c r="J25" s="57" t="e">
        <f>IF(AND(#REF!="Alta",#REF!="Leve"),CONCATENATE("R10C",#REF!),"")</f>
        <v>#REF!</v>
      </c>
      <c r="K25" s="58" t="e">
        <f>IF(AND(#REF!="Alta",#REF!="Leve"),CONCATENATE("R10C",#REF!),"")</f>
        <v>#REF!</v>
      </c>
      <c r="L25" s="58" t="e">
        <f>IF(AND(#REF!="Alta",#REF!="Leve"),CONCATENATE("R10C",#REF!),"")</f>
        <v>#REF!</v>
      </c>
      <c r="M25" s="58" t="e">
        <f>IF(AND(#REF!="Alta",#REF!="Leve"),CONCATENATE("R10C",#REF!),"")</f>
        <v>#REF!</v>
      </c>
      <c r="N25" s="58" t="e">
        <f>IF(AND(#REF!="Alta",#REF!="Leve"),CONCATENATE("R10C",#REF!),"")</f>
        <v>#REF!</v>
      </c>
      <c r="O25" s="59" t="e">
        <f>IF(AND(#REF!="Alta",#REF!="Leve"),CONCATENATE("R10C",#REF!),"")</f>
        <v>#REF!</v>
      </c>
      <c r="P25" s="57" t="e">
        <f>IF(AND(#REF!="Alta",#REF!="Menor"),CONCATENATE("R10C",#REF!),"")</f>
        <v>#REF!</v>
      </c>
      <c r="Q25" s="58" t="e">
        <f>IF(AND(#REF!="Alta",#REF!="Menor"),CONCATENATE("R10C",#REF!),"")</f>
        <v>#REF!</v>
      </c>
      <c r="R25" s="58" t="e">
        <f>IF(AND(#REF!="Alta",#REF!="Menor"),CONCATENATE("R10C",#REF!),"")</f>
        <v>#REF!</v>
      </c>
      <c r="S25" s="58" t="e">
        <f>IF(AND(#REF!="Alta",#REF!="Menor"),CONCATENATE("R10C",#REF!),"")</f>
        <v>#REF!</v>
      </c>
      <c r="T25" s="58" t="e">
        <f>IF(AND(#REF!="Alta",#REF!="Menor"),CONCATENATE("R10C",#REF!),"")</f>
        <v>#REF!</v>
      </c>
      <c r="U25" s="59" t="e">
        <f>IF(AND(#REF!="Alta",#REF!="Menor"),CONCATENATE("R10C",#REF!),"")</f>
        <v>#REF!</v>
      </c>
      <c r="V25" s="45" t="e">
        <f>IF(AND(#REF!="Alta",#REF!="Moderado"),CONCATENATE("R10C",#REF!),"")</f>
        <v>#REF!</v>
      </c>
      <c r="W25" s="46" t="e">
        <f>IF(AND(#REF!="Alta",#REF!="Moderado"),CONCATENATE("R10C",#REF!),"")</f>
        <v>#REF!</v>
      </c>
      <c r="X25" s="46" t="e">
        <f>IF(AND(#REF!="Alta",#REF!="Moderado"),CONCATENATE("R10C",#REF!),"")</f>
        <v>#REF!</v>
      </c>
      <c r="Y25" s="46" t="e">
        <f>IF(AND(#REF!="Alta",#REF!="Moderado"),CONCATENATE("R10C",#REF!),"")</f>
        <v>#REF!</v>
      </c>
      <c r="Z25" s="46" t="e">
        <f>IF(AND(#REF!="Alta",#REF!="Moderado"),CONCATENATE("R10C",#REF!),"")</f>
        <v>#REF!</v>
      </c>
      <c r="AA25" s="47" t="e">
        <f>IF(AND(#REF!="Alta",#REF!="Moderado"),CONCATENATE("R10C",#REF!),"")</f>
        <v>#REF!</v>
      </c>
      <c r="AB25" s="45" t="e">
        <f>IF(AND(#REF!="Alta",#REF!="Mayor"),CONCATENATE("R10C",#REF!),"")</f>
        <v>#REF!</v>
      </c>
      <c r="AC25" s="46" t="e">
        <f>IF(AND(#REF!="Alta",#REF!="Mayor"),CONCATENATE("R10C",#REF!),"")</f>
        <v>#REF!</v>
      </c>
      <c r="AD25" s="46" t="e">
        <f>IF(AND(#REF!="Alta",#REF!="Mayor"),CONCATENATE("R10C",#REF!),"")</f>
        <v>#REF!</v>
      </c>
      <c r="AE25" s="46" t="e">
        <f>IF(AND(#REF!="Alta",#REF!="Mayor"),CONCATENATE("R10C",#REF!),"")</f>
        <v>#REF!</v>
      </c>
      <c r="AF25" s="46" t="e">
        <f>IF(AND(#REF!="Alta",#REF!="Mayor"),CONCATENATE("R10C",#REF!),"")</f>
        <v>#REF!</v>
      </c>
      <c r="AG25" s="47" t="e">
        <f>IF(AND(#REF!="Alta",#REF!="Mayor"),CONCATENATE("R10C",#REF!),"")</f>
        <v>#REF!</v>
      </c>
      <c r="AH25" s="48" t="e">
        <f>IF(AND(#REF!="Alta",#REF!="Catastrófico"),CONCATENATE("R10C",#REF!),"")</f>
        <v>#REF!</v>
      </c>
      <c r="AI25" s="49" t="e">
        <f>IF(AND(#REF!="Alta",#REF!="Catastrófico"),CONCATENATE("R10C",#REF!),"")</f>
        <v>#REF!</v>
      </c>
      <c r="AJ25" s="49" t="e">
        <f>IF(AND(#REF!="Alta",#REF!="Catastrófico"),CONCATENATE("R10C",#REF!),"")</f>
        <v>#REF!</v>
      </c>
      <c r="AK25" s="49" t="e">
        <f>IF(AND(#REF!="Alta",#REF!="Catastrófico"),CONCATENATE("R10C",#REF!),"")</f>
        <v>#REF!</v>
      </c>
      <c r="AL25" s="49" t="e">
        <f>IF(AND(#REF!="Alta",#REF!="Catastrófico"),CONCATENATE("R10C",#REF!),"")</f>
        <v>#REF!</v>
      </c>
      <c r="AM25" s="50" t="e">
        <f>IF(AND(#REF!="Alta",#REF!="Catastrófico"),CONCATENATE("R10C",#REF!),"")</f>
        <v>#REF!</v>
      </c>
      <c r="AN25" s="70"/>
      <c r="AO25" s="700"/>
      <c r="AP25" s="701"/>
      <c r="AQ25" s="701"/>
      <c r="AR25" s="701"/>
      <c r="AS25" s="701"/>
      <c r="AT25" s="70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646"/>
      <c r="C26" s="646"/>
      <c r="D26" s="647"/>
      <c r="E26" s="684" t="s">
        <v>101</v>
      </c>
      <c r="F26" s="685"/>
      <c r="G26" s="685"/>
      <c r="H26" s="685"/>
      <c r="I26" s="686"/>
      <c r="J26" s="51" t="e">
        <f>IF(AND(#REF!="Media",#REF!="Leve"),CONCATENATE("R1C",#REF!),"")</f>
        <v>#REF!</v>
      </c>
      <c r="K26" s="52" t="e">
        <f>IF(AND(#REF!="Media",#REF!="Leve"),CONCATENATE("R1C",#REF!),"")</f>
        <v>#REF!</v>
      </c>
      <c r="L26" s="52" t="e">
        <f>IF(AND(#REF!="Media",#REF!="Leve"),CONCATENATE("R1C",#REF!),"")</f>
        <v>#REF!</v>
      </c>
      <c r="M26" s="52" t="e">
        <f>IF(AND(#REF!="Media",#REF!="Leve"),CONCATENATE("R1C",#REF!),"")</f>
        <v>#REF!</v>
      </c>
      <c r="N26" s="52" t="e">
        <f>IF(AND(#REF!="Media",#REF!="Leve"),CONCATENATE("R1C",#REF!),"")</f>
        <v>#REF!</v>
      </c>
      <c r="O26" s="53" t="e">
        <f>IF(AND(#REF!="Media",#REF!="Leve"),CONCATENATE("R1C",#REF!),"")</f>
        <v>#REF!</v>
      </c>
      <c r="P26" s="51" t="e">
        <f>IF(AND(#REF!="Media",#REF!="Menor"),CONCATENATE("R1C",#REF!),"")</f>
        <v>#REF!</v>
      </c>
      <c r="Q26" s="52" t="e">
        <f>IF(AND(#REF!="Media",#REF!="Menor"),CONCATENATE("R1C",#REF!),"")</f>
        <v>#REF!</v>
      </c>
      <c r="R26" s="52" t="e">
        <f>IF(AND(#REF!="Media",#REF!="Menor"),CONCATENATE("R1C",#REF!),"")</f>
        <v>#REF!</v>
      </c>
      <c r="S26" s="52" t="e">
        <f>IF(AND(#REF!="Media",#REF!="Menor"),CONCATENATE("R1C",#REF!),"")</f>
        <v>#REF!</v>
      </c>
      <c r="T26" s="52" t="e">
        <f>IF(AND(#REF!="Media",#REF!="Menor"),CONCATENATE("R1C",#REF!),"")</f>
        <v>#REF!</v>
      </c>
      <c r="U26" s="53" t="e">
        <f>IF(AND(#REF!="Media",#REF!="Menor"),CONCATENATE("R1C",#REF!),"")</f>
        <v>#REF!</v>
      </c>
      <c r="V26" s="51" t="e">
        <f>IF(AND(#REF!="Media",#REF!="Moderado"),CONCATENATE("R1C",#REF!),"")</f>
        <v>#REF!</v>
      </c>
      <c r="W26" s="52" t="e">
        <f>IF(AND(#REF!="Media",#REF!="Moderado"),CONCATENATE("R1C",#REF!),"")</f>
        <v>#REF!</v>
      </c>
      <c r="X26" s="52" t="e">
        <f>IF(AND(#REF!="Media",#REF!="Moderado"),CONCATENATE("R1C",#REF!),"")</f>
        <v>#REF!</v>
      </c>
      <c r="Y26" s="52" t="e">
        <f>IF(AND(#REF!="Media",#REF!="Moderado"),CONCATENATE("R1C",#REF!),"")</f>
        <v>#REF!</v>
      </c>
      <c r="Z26" s="52" t="e">
        <f>IF(AND(#REF!="Media",#REF!="Moderado"),CONCATENATE("R1C",#REF!),"")</f>
        <v>#REF!</v>
      </c>
      <c r="AA26" s="53" t="e">
        <f>IF(AND(#REF!="Media",#REF!="Moderado"),CONCATENATE("R1C",#REF!),"")</f>
        <v>#REF!</v>
      </c>
      <c r="AB26" s="33" t="e">
        <f>IF(AND(#REF!="Media",#REF!="Mayor"),CONCATENATE("R1C",#REF!),"")</f>
        <v>#REF!</v>
      </c>
      <c r="AC26" s="34" t="e">
        <f>IF(AND(#REF!="Media",#REF!="Mayor"),CONCATENATE("R1C",#REF!),"")</f>
        <v>#REF!</v>
      </c>
      <c r="AD26" s="34" t="e">
        <f>IF(AND(#REF!="Media",#REF!="Mayor"),CONCATENATE("R1C",#REF!),"")</f>
        <v>#REF!</v>
      </c>
      <c r="AE26" s="34" t="e">
        <f>IF(AND(#REF!="Media",#REF!="Mayor"),CONCATENATE("R1C",#REF!),"")</f>
        <v>#REF!</v>
      </c>
      <c r="AF26" s="34" t="e">
        <f>IF(AND(#REF!="Media",#REF!="Mayor"),CONCATENATE("R1C",#REF!),"")</f>
        <v>#REF!</v>
      </c>
      <c r="AG26" s="35" t="e">
        <f>IF(AND(#REF!="Media",#REF!="Mayor"),CONCATENATE("R1C",#REF!),"")</f>
        <v>#REF!</v>
      </c>
      <c r="AH26" s="36" t="e">
        <f>IF(AND(#REF!="Media",#REF!="Catastrófico"),CONCATENATE("R1C",#REF!),"")</f>
        <v>#REF!</v>
      </c>
      <c r="AI26" s="37" t="e">
        <f>IF(AND(#REF!="Media",#REF!="Catastrófico"),CONCATENATE("R1C",#REF!),"")</f>
        <v>#REF!</v>
      </c>
      <c r="AJ26" s="37" t="e">
        <f>IF(AND(#REF!="Media",#REF!="Catastrófico"),CONCATENATE("R1C",#REF!),"")</f>
        <v>#REF!</v>
      </c>
      <c r="AK26" s="37" t="e">
        <f>IF(AND(#REF!="Media",#REF!="Catastrófico"),CONCATENATE("R1C",#REF!),"")</f>
        <v>#REF!</v>
      </c>
      <c r="AL26" s="37" t="e">
        <f>IF(AND(#REF!="Media",#REF!="Catastrófico"),CONCATENATE("R1C",#REF!),"")</f>
        <v>#REF!</v>
      </c>
      <c r="AM26" s="38" t="e">
        <f>IF(AND(#REF!="Media",#REF!="Catastrófico"),CONCATENATE("R1C",#REF!),"")</f>
        <v>#REF!</v>
      </c>
      <c r="AN26" s="70"/>
      <c r="AO26" s="724" t="s">
        <v>67</v>
      </c>
      <c r="AP26" s="725"/>
      <c r="AQ26" s="725"/>
      <c r="AR26" s="725"/>
      <c r="AS26" s="725"/>
      <c r="AT26" s="726"/>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646"/>
      <c r="C27" s="646"/>
      <c r="D27" s="647"/>
      <c r="E27" s="703"/>
      <c r="F27" s="688"/>
      <c r="G27" s="688"/>
      <c r="H27" s="688"/>
      <c r="I27" s="689"/>
      <c r="J27" s="54" t="e">
        <f>IF(AND(#REF!="Media",#REF!="Leve"),CONCATENATE("R2C",#REF!),"")</f>
        <v>#REF!</v>
      </c>
      <c r="K27" s="55" t="e">
        <f>IF(AND(#REF!="Media",#REF!="Leve"),CONCATENATE("R2C",#REF!),"")</f>
        <v>#REF!</v>
      </c>
      <c r="L27" s="55" t="e">
        <f>IF(AND(#REF!="Media",#REF!="Leve"),CONCATENATE("R2C",#REF!),"")</f>
        <v>#REF!</v>
      </c>
      <c r="M27" s="55" t="e">
        <f>IF(AND(#REF!="Media",#REF!="Leve"),CONCATENATE("R2C",#REF!),"")</f>
        <v>#REF!</v>
      </c>
      <c r="N27" s="55" t="e">
        <f>IF(AND(#REF!="Media",#REF!="Leve"),CONCATENATE("R2C",#REF!),"")</f>
        <v>#REF!</v>
      </c>
      <c r="O27" s="56" t="e">
        <f>IF(AND(#REF!="Media",#REF!="Leve"),CONCATENATE("R2C",#REF!),"")</f>
        <v>#REF!</v>
      </c>
      <c r="P27" s="54" t="e">
        <f>IF(AND(#REF!="Media",#REF!="Menor"),CONCATENATE("R2C",#REF!),"")</f>
        <v>#REF!</v>
      </c>
      <c r="Q27" s="55" t="e">
        <f>IF(AND(#REF!="Media",#REF!="Menor"),CONCATENATE("R2C",#REF!),"")</f>
        <v>#REF!</v>
      </c>
      <c r="R27" s="55" t="e">
        <f>IF(AND(#REF!="Media",#REF!="Menor"),CONCATENATE("R2C",#REF!),"")</f>
        <v>#REF!</v>
      </c>
      <c r="S27" s="55" t="e">
        <f>IF(AND(#REF!="Media",#REF!="Menor"),CONCATENATE("R2C",#REF!),"")</f>
        <v>#REF!</v>
      </c>
      <c r="T27" s="55" t="e">
        <f>IF(AND(#REF!="Media",#REF!="Menor"),CONCATENATE("R2C",#REF!),"")</f>
        <v>#REF!</v>
      </c>
      <c r="U27" s="56" t="e">
        <f>IF(AND(#REF!="Media",#REF!="Menor"),CONCATENATE("R2C",#REF!),"")</f>
        <v>#REF!</v>
      </c>
      <c r="V27" s="54" t="e">
        <f>IF(AND(#REF!="Media",#REF!="Moderado"),CONCATENATE("R2C",#REF!),"")</f>
        <v>#REF!</v>
      </c>
      <c r="W27" s="55" t="e">
        <f>IF(AND(#REF!="Media",#REF!="Moderado"),CONCATENATE("R2C",#REF!),"")</f>
        <v>#REF!</v>
      </c>
      <c r="X27" s="55" t="e">
        <f>IF(AND(#REF!="Media",#REF!="Moderado"),CONCATENATE("R2C",#REF!),"")</f>
        <v>#REF!</v>
      </c>
      <c r="Y27" s="55" t="e">
        <f>IF(AND(#REF!="Media",#REF!="Moderado"),CONCATENATE("R2C",#REF!),"")</f>
        <v>#REF!</v>
      </c>
      <c r="Z27" s="55" t="e">
        <f>IF(AND(#REF!="Media",#REF!="Moderado"),CONCATENATE("R2C",#REF!),"")</f>
        <v>#REF!</v>
      </c>
      <c r="AA27" s="56" t="e">
        <f>IF(AND(#REF!="Media",#REF!="Moderado"),CONCATENATE("R2C",#REF!),"")</f>
        <v>#REF!</v>
      </c>
      <c r="AB27" s="39" t="e">
        <f>IF(AND(#REF!="Media",#REF!="Mayor"),CONCATENATE("R2C",#REF!),"")</f>
        <v>#REF!</v>
      </c>
      <c r="AC27" s="40" t="e">
        <f>IF(AND(#REF!="Media",#REF!="Mayor"),CONCATENATE("R2C",#REF!),"")</f>
        <v>#REF!</v>
      </c>
      <c r="AD27" s="40" t="e">
        <f>IF(AND(#REF!="Media",#REF!="Mayor"),CONCATENATE("R2C",#REF!),"")</f>
        <v>#REF!</v>
      </c>
      <c r="AE27" s="40" t="e">
        <f>IF(AND(#REF!="Media",#REF!="Mayor"),CONCATENATE("R2C",#REF!),"")</f>
        <v>#REF!</v>
      </c>
      <c r="AF27" s="40" t="e">
        <f>IF(AND(#REF!="Media",#REF!="Mayor"),CONCATENATE("R2C",#REF!),"")</f>
        <v>#REF!</v>
      </c>
      <c r="AG27" s="41" t="e">
        <f>IF(AND(#REF!="Media",#REF!="Mayor"),CONCATENATE("R2C",#REF!),"")</f>
        <v>#REF!</v>
      </c>
      <c r="AH27" s="42" t="e">
        <f>IF(AND(#REF!="Media",#REF!="Catastrófico"),CONCATENATE("R2C",#REF!),"")</f>
        <v>#REF!</v>
      </c>
      <c r="AI27" s="43" t="e">
        <f>IF(AND(#REF!="Media",#REF!="Catastrófico"),CONCATENATE("R2C",#REF!),"")</f>
        <v>#REF!</v>
      </c>
      <c r="AJ27" s="43" t="e">
        <f>IF(AND(#REF!="Media",#REF!="Catastrófico"),CONCATENATE("R2C",#REF!),"")</f>
        <v>#REF!</v>
      </c>
      <c r="AK27" s="43" t="e">
        <f>IF(AND(#REF!="Media",#REF!="Catastrófico"),CONCATENATE("R2C",#REF!),"")</f>
        <v>#REF!</v>
      </c>
      <c r="AL27" s="43" t="e">
        <f>IF(AND(#REF!="Media",#REF!="Catastrófico"),CONCATENATE("R2C",#REF!),"")</f>
        <v>#REF!</v>
      </c>
      <c r="AM27" s="44" t="e">
        <f>IF(AND(#REF!="Media",#REF!="Catastrófico"),CONCATENATE("R2C",#REF!),"")</f>
        <v>#REF!</v>
      </c>
      <c r="AN27" s="70"/>
      <c r="AO27" s="727"/>
      <c r="AP27" s="728"/>
      <c r="AQ27" s="728"/>
      <c r="AR27" s="728"/>
      <c r="AS27" s="728"/>
      <c r="AT27" s="729"/>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646"/>
      <c r="C28" s="646"/>
      <c r="D28" s="647"/>
      <c r="E28" s="687"/>
      <c r="F28" s="688"/>
      <c r="G28" s="688"/>
      <c r="H28" s="688"/>
      <c r="I28" s="689"/>
      <c r="J28" s="54" t="e">
        <f>IF(AND(#REF!="Media",#REF!="Leve"),CONCATENATE("R3C",#REF!),"")</f>
        <v>#REF!</v>
      </c>
      <c r="K28" s="55" t="e">
        <f>IF(AND(#REF!="Media",#REF!="Leve"),CONCATENATE("R3C",#REF!),"")</f>
        <v>#REF!</v>
      </c>
      <c r="L28" s="55" t="e">
        <f>IF(AND(#REF!="Media",#REF!="Leve"),CONCATENATE("R3C",#REF!),"")</f>
        <v>#REF!</v>
      </c>
      <c r="M28" s="55" t="e">
        <f>IF(AND(#REF!="Media",#REF!="Leve"),CONCATENATE("R3C",#REF!),"")</f>
        <v>#REF!</v>
      </c>
      <c r="N28" s="55" t="e">
        <f>IF(AND(#REF!="Media",#REF!="Leve"),CONCATENATE("R3C",#REF!),"")</f>
        <v>#REF!</v>
      </c>
      <c r="O28" s="56" t="e">
        <f>IF(AND(#REF!="Media",#REF!="Leve"),CONCATENATE("R3C",#REF!),"")</f>
        <v>#REF!</v>
      </c>
      <c r="P28" s="54" t="e">
        <f>IF(AND(#REF!="Media",#REF!="Menor"),CONCATENATE("R3C",#REF!),"")</f>
        <v>#REF!</v>
      </c>
      <c r="Q28" s="55" t="e">
        <f>IF(AND(#REF!="Media",#REF!="Menor"),CONCATENATE("R3C",#REF!),"")</f>
        <v>#REF!</v>
      </c>
      <c r="R28" s="55" t="e">
        <f>IF(AND(#REF!="Media",#REF!="Menor"),CONCATENATE("R3C",#REF!),"")</f>
        <v>#REF!</v>
      </c>
      <c r="S28" s="55" t="e">
        <f>IF(AND(#REF!="Media",#REF!="Menor"),CONCATENATE("R3C",#REF!),"")</f>
        <v>#REF!</v>
      </c>
      <c r="T28" s="55" t="e">
        <f>IF(AND(#REF!="Media",#REF!="Menor"),CONCATENATE("R3C",#REF!),"")</f>
        <v>#REF!</v>
      </c>
      <c r="U28" s="56" t="e">
        <f>IF(AND(#REF!="Media",#REF!="Menor"),CONCATENATE("R3C",#REF!),"")</f>
        <v>#REF!</v>
      </c>
      <c r="V28" s="54" t="e">
        <f>IF(AND(#REF!="Media",#REF!="Moderado"),CONCATENATE("R3C",#REF!),"")</f>
        <v>#REF!</v>
      </c>
      <c r="W28" s="55" t="e">
        <f>IF(AND(#REF!="Media",#REF!="Moderado"),CONCATENATE("R3C",#REF!),"")</f>
        <v>#REF!</v>
      </c>
      <c r="X28" s="55" t="e">
        <f>IF(AND(#REF!="Media",#REF!="Moderado"),CONCATENATE("R3C",#REF!),"")</f>
        <v>#REF!</v>
      </c>
      <c r="Y28" s="55" t="e">
        <f>IF(AND(#REF!="Media",#REF!="Moderado"),CONCATENATE("R3C",#REF!),"")</f>
        <v>#REF!</v>
      </c>
      <c r="Z28" s="55" t="e">
        <f>IF(AND(#REF!="Media",#REF!="Moderado"),CONCATENATE("R3C",#REF!),"")</f>
        <v>#REF!</v>
      </c>
      <c r="AA28" s="56" t="e">
        <f>IF(AND(#REF!="Media",#REF!="Moderado"),CONCATENATE("R3C",#REF!),"")</f>
        <v>#REF!</v>
      </c>
      <c r="AB28" s="39" t="e">
        <f>IF(AND(#REF!="Media",#REF!="Mayor"),CONCATENATE("R3C",#REF!),"")</f>
        <v>#REF!</v>
      </c>
      <c r="AC28" s="40" t="e">
        <f>IF(AND(#REF!="Media",#REF!="Mayor"),CONCATENATE("R3C",#REF!),"")</f>
        <v>#REF!</v>
      </c>
      <c r="AD28" s="40" t="e">
        <f>IF(AND(#REF!="Media",#REF!="Mayor"),CONCATENATE("R3C",#REF!),"")</f>
        <v>#REF!</v>
      </c>
      <c r="AE28" s="40" t="e">
        <f>IF(AND(#REF!="Media",#REF!="Mayor"),CONCATENATE("R3C",#REF!),"")</f>
        <v>#REF!</v>
      </c>
      <c r="AF28" s="40" t="e">
        <f>IF(AND(#REF!="Media",#REF!="Mayor"),CONCATENATE("R3C",#REF!),"")</f>
        <v>#REF!</v>
      </c>
      <c r="AG28" s="41" t="e">
        <f>IF(AND(#REF!="Media",#REF!="Mayor"),CONCATENATE("R3C",#REF!),"")</f>
        <v>#REF!</v>
      </c>
      <c r="AH28" s="42" t="e">
        <f>IF(AND(#REF!="Media",#REF!="Catastrófico"),CONCATENATE("R3C",#REF!),"")</f>
        <v>#REF!</v>
      </c>
      <c r="AI28" s="43" t="e">
        <f>IF(AND(#REF!="Media",#REF!="Catastrófico"),CONCATENATE("R3C",#REF!),"")</f>
        <v>#REF!</v>
      </c>
      <c r="AJ28" s="43" t="e">
        <f>IF(AND(#REF!="Media",#REF!="Catastrófico"),CONCATENATE("R3C",#REF!),"")</f>
        <v>#REF!</v>
      </c>
      <c r="AK28" s="43" t="e">
        <f>IF(AND(#REF!="Media",#REF!="Catastrófico"),CONCATENATE("R3C",#REF!),"")</f>
        <v>#REF!</v>
      </c>
      <c r="AL28" s="43" t="e">
        <f>IF(AND(#REF!="Media",#REF!="Catastrófico"),CONCATENATE("R3C",#REF!),"")</f>
        <v>#REF!</v>
      </c>
      <c r="AM28" s="44" t="e">
        <f>IF(AND(#REF!="Media",#REF!="Catastrófico"),CONCATENATE("R3C",#REF!),"")</f>
        <v>#REF!</v>
      </c>
      <c r="AN28" s="70"/>
      <c r="AO28" s="727"/>
      <c r="AP28" s="728"/>
      <c r="AQ28" s="728"/>
      <c r="AR28" s="728"/>
      <c r="AS28" s="728"/>
      <c r="AT28" s="729"/>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646"/>
      <c r="C29" s="646"/>
      <c r="D29" s="647"/>
      <c r="E29" s="687"/>
      <c r="F29" s="688"/>
      <c r="G29" s="688"/>
      <c r="H29" s="688"/>
      <c r="I29" s="689"/>
      <c r="J29" s="54" t="e">
        <f>IF(AND(#REF!="Media",#REF!="Leve"),CONCATENATE("R4C",#REF!),"")</f>
        <v>#REF!</v>
      </c>
      <c r="K29" s="55" t="e">
        <f>IF(AND(#REF!="Media",#REF!="Leve"),CONCATENATE("R4C",#REF!),"")</f>
        <v>#REF!</v>
      </c>
      <c r="L29" s="55" t="e">
        <f>IF(AND(#REF!="Media",#REF!="Leve"),CONCATENATE("R4C",#REF!),"")</f>
        <v>#REF!</v>
      </c>
      <c r="M29" s="55" t="e">
        <f>IF(AND(#REF!="Media",#REF!="Leve"),CONCATENATE("R4C",#REF!),"")</f>
        <v>#REF!</v>
      </c>
      <c r="N29" s="55" t="e">
        <f>IF(AND(#REF!="Media",#REF!="Leve"),CONCATENATE("R4C",#REF!),"")</f>
        <v>#REF!</v>
      </c>
      <c r="O29" s="56" t="e">
        <f>IF(AND(#REF!="Media",#REF!="Leve"),CONCATENATE("R4C",#REF!),"")</f>
        <v>#REF!</v>
      </c>
      <c r="P29" s="54" t="e">
        <f>IF(AND(#REF!="Media",#REF!="Menor"),CONCATENATE("R4C",#REF!),"")</f>
        <v>#REF!</v>
      </c>
      <c r="Q29" s="55" t="e">
        <f>IF(AND(#REF!="Media",#REF!="Menor"),CONCATENATE("R4C",#REF!),"")</f>
        <v>#REF!</v>
      </c>
      <c r="R29" s="55" t="e">
        <f>IF(AND(#REF!="Media",#REF!="Menor"),CONCATENATE("R4C",#REF!),"")</f>
        <v>#REF!</v>
      </c>
      <c r="S29" s="55" t="e">
        <f>IF(AND(#REF!="Media",#REF!="Menor"),CONCATENATE("R4C",#REF!),"")</f>
        <v>#REF!</v>
      </c>
      <c r="T29" s="55" t="e">
        <f>IF(AND(#REF!="Media",#REF!="Menor"),CONCATENATE("R4C",#REF!),"")</f>
        <v>#REF!</v>
      </c>
      <c r="U29" s="56" t="e">
        <f>IF(AND(#REF!="Media",#REF!="Menor"),CONCATENATE("R4C",#REF!),"")</f>
        <v>#REF!</v>
      </c>
      <c r="V29" s="54" t="e">
        <f>IF(AND(#REF!="Media",#REF!="Moderado"),CONCATENATE("R4C",#REF!),"")</f>
        <v>#REF!</v>
      </c>
      <c r="W29" s="55" t="e">
        <f>IF(AND(#REF!="Media",#REF!="Moderado"),CONCATENATE("R4C",#REF!),"")</f>
        <v>#REF!</v>
      </c>
      <c r="X29" s="55" t="e">
        <f>IF(AND(#REF!="Media",#REF!="Moderado"),CONCATENATE("R4C",#REF!),"")</f>
        <v>#REF!</v>
      </c>
      <c r="Y29" s="55" t="e">
        <f>IF(AND(#REF!="Media",#REF!="Moderado"),CONCATENATE("R4C",#REF!),"")</f>
        <v>#REF!</v>
      </c>
      <c r="Z29" s="55" t="e">
        <f>IF(AND(#REF!="Media",#REF!="Moderado"),CONCATENATE("R4C",#REF!),"")</f>
        <v>#REF!</v>
      </c>
      <c r="AA29" s="56" t="e">
        <f>IF(AND(#REF!="Media",#REF!="Moderado"),CONCATENATE("R4C",#REF!),"")</f>
        <v>#REF!</v>
      </c>
      <c r="AB29" s="39" t="e">
        <f>IF(AND(#REF!="Media",#REF!="Mayor"),CONCATENATE("R4C",#REF!),"")</f>
        <v>#REF!</v>
      </c>
      <c r="AC29" s="40" t="e">
        <f>IF(AND(#REF!="Media",#REF!="Mayor"),CONCATENATE("R4C",#REF!),"")</f>
        <v>#REF!</v>
      </c>
      <c r="AD29" s="40" t="e">
        <f>IF(AND(#REF!="Media",#REF!="Mayor"),CONCATENATE("R4C",#REF!),"")</f>
        <v>#REF!</v>
      </c>
      <c r="AE29" s="40" t="e">
        <f>IF(AND(#REF!="Media",#REF!="Mayor"),CONCATENATE("R4C",#REF!),"")</f>
        <v>#REF!</v>
      </c>
      <c r="AF29" s="40" t="e">
        <f>IF(AND(#REF!="Media",#REF!="Mayor"),CONCATENATE("R4C",#REF!),"")</f>
        <v>#REF!</v>
      </c>
      <c r="AG29" s="41" t="e">
        <f>IF(AND(#REF!="Media",#REF!="Mayor"),CONCATENATE("R4C",#REF!),"")</f>
        <v>#REF!</v>
      </c>
      <c r="AH29" s="42" t="e">
        <f>IF(AND(#REF!="Media",#REF!="Catastrófico"),CONCATENATE("R4C",#REF!),"")</f>
        <v>#REF!</v>
      </c>
      <c r="AI29" s="43" t="e">
        <f>IF(AND(#REF!="Media",#REF!="Catastrófico"),CONCATENATE("R4C",#REF!),"")</f>
        <v>#REF!</v>
      </c>
      <c r="AJ29" s="43" t="e">
        <f>IF(AND(#REF!="Media",#REF!="Catastrófico"),CONCATENATE("R4C",#REF!),"")</f>
        <v>#REF!</v>
      </c>
      <c r="AK29" s="43" t="e">
        <f>IF(AND(#REF!="Media",#REF!="Catastrófico"),CONCATENATE("R4C",#REF!),"")</f>
        <v>#REF!</v>
      </c>
      <c r="AL29" s="43" t="e">
        <f>IF(AND(#REF!="Media",#REF!="Catastrófico"),CONCATENATE("R4C",#REF!),"")</f>
        <v>#REF!</v>
      </c>
      <c r="AM29" s="44" t="e">
        <f>IF(AND(#REF!="Media",#REF!="Catastrófico"),CONCATENATE("R4C",#REF!),"")</f>
        <v>#REF!</v>
      </c>
      <c r="AN29" s="70"/>
      <c r="AO29" s="727"/>
      <c r="AP29" s="728"/>
      <c r="AQ29" s="728"/>
      <c r="AR29" s="728"/>
      <c r="AS29" s="728"/>
      <c r="AT29" s="729"/>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646"/>
      <c r="C30" s="646"/>
      <c r="D30" s="647"/>
      <c r="E30" s="687"/>
      <c r="F30" s="688"/>
      <c r="G30" s="688"/>
      <c r="H30" s="688"/>
      <c r="I30" s="689"/>
      <c r="J30" s="54" t="e">
        <f>IF(AND(#REF!="Media",#REF!="Leve"),CONCATENATE("R5C",#REF!),"")</f>
        <v>#REF!</v>
      </c>
      <c r="K30" s="55" t="e">
        <f>IF(AND(#REF!="Media",#REF!="Leve"),CONCATENATE("R5C",#REF!),"")</f>
        <v>#REF!</v>
      </c>
      <c r="L30" s="55" t="e">
        <f>IF(AND(#REF!="Media",#REF!="Leve"),CONCATENATE("R5C",#REF!),"")</f>
        <v>#REF!</v>
      </c>
      <c r="M30" s="55" t="e">
        <f>IF(AND(#REF!="Media",#REF!="Leve"),CONCATENATE("R5C",#REF!),"")</f>
        <v>#REF!</v>
      </c>
      <c r="N30" s="55" t="e">
        <f>IF(AND(#REF!="Media",#REF!="Leve"),CONCATENATE("R5C",#REF!),"")</f>
        <v>#REF!</v>
      </c>
      <c r="O30" s="56" t="e">
        <f>IF(AND(#REF!="Media",#REF!="Leve"),CONCATENATE("R5C",#REF!),"")</f>
        <v>#REF!</v>
      </c>
      <c r="P30" s="54" t="e">
        <f>IF(AND(#REF!="Media",#REF!="Menor"),CONCATENATE("R5C",#REF!),"")</f>
        <v>#REF!</v>
      </c>
      <c r="Q30" s="55" t="e">
        <f>IF(AND(#REF!="Media",#REF!="Menor"),CONCATENATE("R5C",#REF!),"")</f>
        <v>#REF!</v>
      </c>
      <c r="R30" s="55" t="e">
        <f>IF(AND(#REF!="Media",#REF!="Menor"),CONCATENATE("R5C",#REF!),"")</f>
        <v>#REF!</v>
      </c>
      <c r="S30" s="55" t="e">
        <f>IF(AND(#REF!="Media",#REF!="Menor"),CONCATENATE("R5C",#REF!),"")</f>
        <v>#REF!</v>
      </c>
      <c r="T30" s="55" t="e">
        <f>IF(AND(#REF!="Media",#REF!="Menor"),CONCATENATE("R5C",#REF!),"")</f>
        <v>#REF!</v>
      </c>
      <c r="U30" s="56" t="e">
        <f>IF(AND(#REF!="Media",#REF!="Menor"),CONCATENATE("R5C",#REF!),"")</f>
        <v>#REF!</v>
      </c>
      <c r="V30" s="54" t="e">
        <f>IF(AND(#REF!="Media",#REF!="Moderado"),CONCATENATE("R5C",#REF!),"")</f>
        <v>#REF!</v>
      </c>
      <c r="W30" s="55" t="e">
        <f>IF(AND(#REF!="Media",#REF!="Moderado"),CONCATENATE("R5C",#REF!),"")</f>
        <v>#REF!</v>
      </c>
      <c r="X30" s="55" t="e">
        <f>IF(AND(#REF!="Media",#REF!="Moderado"),CONCATENATE("R5C",#REF!),"")</f>
        <v>#REF!</v>
      </c>
      <c r="Y30" s="55" t="e">
        <f>IF(AND(#REF!="Media",#REF!="Moderado"),CONCATENATE("R5C",#REF!),"")</f>
        <v>#REF!</v>
      </c>
      <c r="Z30" s="55" t="e">
        <f>IF(AND(#REF!="Media",#REF!="Moderado"),CONCATENATE("R5C",#REF!),"")</f>
        <v>#REF!</v>
      </c>
      <c r="AA30" s="56" t="e">
        <f>IF(AND(#REF!="Media",#REF!="Moderado"),CONCATENATE("R5C",#REF!),"")</f>
        <v>#REF!</v>
      </c>
      <c r="AB30" s="39" t="e">
        <f>IF(AND(#REF!="Media",#REF!="Mayor"),CONCATENATE("R5C",#REF!),"")</f>
        <v>#REF!</v>
      </c>
      <c r="AC30" s="40" t="e">
        <f>IF(AND(#REF!="Media",#REF!="Mayor"),CONCATENATE("R5C",#REF!),"")</f>
        <v>#REF!</v>
      </c>
      <c r="AD30" s="40" t="e">
        <f>IF(AND(#REF!="Media",#REF!="Mayor"),CONCATENATE("R5C",#REF!),"")</f>
        <v>#REF!</v>
      </c>
      <c r="AE30" s="40" t="e">
        <f>IF(AND(#REF!="Media",#REF!="Mayor"),CONCATENATE("R5C",#REF!),"")</f>
        <v>#REF!</v>
      </c>
      <c r="AF30" s="40" t="e">
        <f>IF(AND(#REF!="Media",#REF!="Mayor"),CONCATENATE("R5C",#REF!),"")</f>
        <v>#REF!</v>
      </c>
      <c r="AG30" s="41" t="e">
        <f>IF(AND(#REF!="Media",#REF!="Mayor"),CONCATENATE("R5C",#REF!),"")</f>
        <v>#REF!</v>
      </c>
      <c r="AH30" s="42" t="e">
        <f>IF(AND(#REF!="Media",#REF!="Catastrófico"),CONCATENATE("R5C",#REF!),"")</f>
        <v>#REF!</v>
      </c>
      <c r="AI30" s="43" t="e">
        <f>IF(AND(#REF!="Media",#REF!="Catastrófico"),CONCATENATE("R5C",#REF!),"")</f>
        <v>#REF!</v>
      </c>
      <c r="AJ30" s="43" t="e">
        <f>IF(AND(#REF!="Media",#REF!="Catastrófico"),CONCATENATE("R5C",#REF!),"")</f>
        <v>#REF!</v>
      </c>
      <c r="AK30" s="43" t="e">
        <f>IF(AND(#REF!="Media",#REF!="Catastrófico"),CONCATENATE("R5C",#REF!),"")</f>
        <v>#REF!</v>
      </c>
      <c r="AL30" s="43" t="e">
        <f>IF(AND(#REF!="Media",#REF!="Catastrófico"),CONCATENATE("R5C",#REF!),"")</f>
        <v>#REF!</v>
      </c>
      <c r="AM30" s="44" t="e">
        <f>IF(AND(#REF!="Media",#REF!="Catastrófico"),CONCATENATE("R5C",#REF!),"")</f>
        <v>#REF!</v>
      </c>
      <c r="AN30" s="70"/>
      <c r="AO30" s="727"/>
      <c r="AP30" s="728"/>
      <c r="AQ30" s="728"/>
      <c r="AR30" s="728"/>
      <c r="AS30" s="728"/>
      <c r="AT30" s="729"/>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646"/>
      <c r="C31" s="646"/>
      <c r="D31" s="647"/>
      <c r="E31" s="687"/>
      <c r="F31" s="688"/>
      <c r="G31" s="688"/>
      <c r="H31" s="688"/>
      <c r="I31" s="689"/>
      <c r="J31" s="54" t="e">
        <f>IF(AND(#REF!="Media",#REF!="Leve"),CONCATENATE("R6C",#REF!),"")</f>
        <v>#REF!</v>
      </c>
      <c r="K31" s="55" t="e">
        <f>IF(AND(#REF!="Media",#REF!="Leve"),CONCATENATE("R6C",#REF!),"")</f>
        <v>#REF!</v>
      </c>
      <c r="L31" s="55" t="e">
        <f>IF(AND(#REF!="Media",#REF!="Leve"),CONCATENATE("R6C",#REF!),"")</f>
        <v>#REF!</v>
      </c>
      <c r="M31" s="55" t="e">
        <f>IF(AND(#REF!="Media",#REF!="Leve"),CONCATENATE("R6C",#REF!),"")</f>
        <v>#REF!</v>
      </c>
      <c r="N31" s="55" t="e">
        <f>IF(AND(#REF!="Media",#REF!="Leve"),CONCATENATE("R6C",#REF!),"")</f>
        <v>#REF!</v>
      </c>
      <c r="O31" s="56" t="e">
        <f>IF(AND(#REF!="Media",#REF!="Leve"),CONCATENATE("R6C",#REF!),"")</f>
        <v>#REF!</v>
      </c>
      <c r="P31" s="54" t="e">
        <f>IF(AND(#REF!="Media",#REF!="Menor"),CONCATENATE("R6C",#REF!),"")</f>
        <v>#REF!</v>
      </c>
      <c r="Q31" s="55" t="e">
        <f>IF(AND(#REF!="Media",#REF!="Menor"),CONCATENATE("R6C",#REF!),"")</f>
        <v>#REF!</v>
      </c>
      <c r="R31" s="55" t="e">
        <f>IF(AND(#REF!="Media",#REF!="Menor"),CONCATENATE("R6C",#REF!),"")</f>
        <v>#REF!</v>
      </c>
      <c r="S31" s="55" t="e">
        <f>IF(AND(#REF!="Media",#REF!="Menor"),CONCATENATE("R6C",#REF!),"")</f>
        <v>#REF!</v>
      </c>
      <c r="T31" s="55" t="e">
        <f>IF(AND(#REF!="Media",#REF!="Menor"),CONCATENATE("R6C",#REF!),"")</f>
        <v>#REF!</v>
      </c>
      <c r="U31" s="56" t="e">
        <f>IF(AND(#REF!="Media",#REF!="Menor"),CONCATENATE("R6C",#REF!),"")</f>
        <v>#REF!</v>
      </c>
      <c r="V31" s="54" t="e">
        <f>IF(AND(#REF!="Media",#REF!="Moderado"),CONCATENATE("R6C",#REF!),"")</f>
        <v>#REF!</v>
      </c>
      <c r="W31" s="55" t="e">
        <f>IF(AND(#REF!="Media",#REF!="Moderado"),CONCATENATE("R6C",#REF!),"")</f>
        <v>#REF!</v>
      </c>
      <c r="X31" s="55" t="e">
        <f>IF(AND(#REF!="Media",#REF!="Moderado"),CONCATENATE("R6C",#REF!),"")</f>
        <v>#REF!</v>
      </c>
      <c r="Y31" s="55" t="e">
        <f>IF(AND(#REF!="Media",#REF!="Moderado"),CONCATENATE("R6C",#REF!),"")</f>
        <v>#REF!</v>
      </c>
      <c r="Z31" s="55" t="e">
        <f>IF(AND(#REF!="Media",#REF!="Moderado"),CONCATENATE("R6C",#REF!),"")</f>
        <v>#REF!</v>
      </c>
      <c r="AA31" s="56" t="e">
        <f>IF(AND(#REF!="Media",#REF!="Moderado"),CONCATENATE("R6C",#REF!),"")</f>
        <v>#REF!</v>
      </c>
      <c r="AB31" s="39" t="e">
        <f>IF(AND(#REF!="Media",#REF!="Mayor"),CONCATENATE("R6C",#REF!),"")</f>
        <v>#REF!</v>
      </c>
      <c r="AC31" s="40" t="e">
        <f>IF(AND(#REF!="Media",#REF!="Mayor"),CONCATENATE("R6C",#REF!),"")</f>
        <v>#REF!</v>
      </c>
      <c r="AD31" s="40" t="e">
        <f>IF(AND(#REF!="Media",#REF!="Mayor"),CONCATENATE("R6C",#REF!),"")</f>
        <v>#REF!</v>
      </c>
      <c r="AE31" s="40" t="e">
        <f>IF(AND(#REF!="Media",#REF!="Mayor"),CONCATENATE("R6C",#REF!),"")</f>
        <v>#REF!</v>
      </c>
      <c r="AF31" s="40" t="e">
        <f>IF(AND(#REF!="Media",#REF!="Mayor"),CONCATENATE("R6C",#REF!),"")</f>
        <v>#REF!</v>
      </c>
      <c r="AG31" s="41" t="e">
        <f>IF(AND(#REF!="Media",#REF!="Mayor"),CONCATENATE("R6C",#REF!),"")</f>
        <v>#REF!</v>
      </c>
      <c r="AH31" s="42" t="e">
        <f>IF(AND(#REF!="Media",#REF!="Catastrófico"),CONCATENATE("R6C",#REF!),"")</f>
        <v>#REF!</v>
      </c>
      <c r="AI31" s="43" t="e">
        <f>IF(AND(#REF!="Media",#REF!="Catastrófico"),CONCATENATE("R6C",#REF!),"")</f>
        <v>#REF!</v>
      </c>
      <c r="AJ31" s="43" t="e">
        <f>IF(AND(#REF!="Media",#REF!="Catastrófico"),CONCATENATE("R6C",#REF!),"")</f>
        <v>#REF!</v>
      </c>
      <c r="AK31" s="43" t="e">
        <f>IF(AND(#REF!="Media",#REF!="Catastrófico"),CONCATENATE("R6C",#REF!),"")</f>
        <v>#REF!</v>
      </c>
      <c r="AL31" s="43" t="e">
        <f>IF(AND(#REF!="Media",#REF!="Catastrófico"),CONCATENATE("R6C",#REF!),"")</f>
        <v>#REF!</v>
      </c>
      <c r="AM31" s="44" t="e">
        <f>IF(AND(#REF!="Media",#REF!="Catastrófico"),CONCATENATE("R6C",#REF!),"")</f>
        <v>#REF!</v>
      </c>
      <c r="AN31" s="70"/>
      <c r="AO31" s="727"/>
      <c r="AP31" s="728"/>
      <c r="AQ31" s="728"/>
      <c r="AR31" s="728"/>
      <c r="AS31" s="728"/>
      <c r="AT31" s="729"/>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646"/>
      <c r="C32" s="646"/>
      <c r="D32" s="647"/>
      <c r="E32" s="687"/>
      <c r="F32" s="688"/>
      <c r="G32" s="688"/>
      <c r="H32" s="688"/>
      <c r="I32" s="689"/>
      <c r="J32" s="54" t="e">
        <f>IF(AND(#REF!="Media",#REF!="Leve"),CONCATENATE("R7C",#REF!),"")</f>
        <v>#REF!</v>
      </c>
      <c r="K32" s="55" t="e">
        <f>IF(AND(#REF!="Media",#REF!="Leve"),CONCATENATE("R7C",#REF!),"")</f>
        <v>#REF!</v>
      </c>
      <c r="L32" s="55" t="e">
        <f>IF(AND(#REF!="Media",#REF!="Leve"),CONCATENATE("R7C",#REF!),"")</f>
        <v>#REF!</v>
      </c>
      <c r="M32" s="55" t="e">
        <f>IF(AND(#REF!="Media",#REF!="Leve"),CONCATENATE("R7C",#REF!),"")</f>
        <v>#REF!</v>
      </c>
      <c r="N32" s="55" t="e">
        <f>IF(AND(#REF!="Media",#REF!="Leve"),CONCATENATE("R7C",#REF!),"")</f>
        <v>#REF!</v>
      </c>
      <c r="O32" s="56" t="e">
        <f>IF(AND(#REF!="Media",#REF!="Leve"),CONCATENATE("R7C",#REF!),"")</f>
        <v>#REF!</v>
      </c>
      <c r="P32" s="54" t="e">
        <f>IF(AND(#REF!="Media",#REF!="Menor"),CONCATENATE("R7C",#REF!),"")</f>
        <v>#REF!</v>
      </c>
      <c r="Q32" s="55" t="e">
        <f>IF(AND(#REF!="Media",#REF!="Menor"),CONCATENATE("R7C",#REF!),"")</f>
        <v>#REF!</v>
      </c>
      <c r="R32" s="55" t="e">
        <f>IF(AND(#REF!="Media",#REF!="Menor"),CONCATENATE("R7C",#REF!),"")</f>
        <v>#REF!</v>
      </c>
      <c r="S32" s="55" t="e">
        <f>IF(AND(#REF!="Media",#REF!="Menor"),CONCATENATE("R7C",#REF!),"")</f>
        <v>#REF!</v>
      </c>
      <c r="T32" s="55" t="e">
        <f>IF(AND(#REF!="Media",#REF!="Menor"),CONCATENATE("R7C",#REF!),"")</f>
        <v>#REF!</v>
      </c>
      <c r="U32" s="56" t="e">
        <f>IF(AND(#REF!="Media",#REF!="Menor"),CONCATENATE("R7C",#REF!),"")</f>
        <v>#REF!</v>
      </c>
      <c r="V32" s="54" t="e">
        <f>IF(AND(#REF!="Media",#REF!="Moderado"),CONCATENATE("R7C",#REF!),"")</f>
        <v>#REF!</v>
      </c>
      <c r="W32" s="55" t="e">
        <f>IF(AND(#REF!="Media",#REF!="Moderado"),CONCATENATE("R7C",#REF!),"")</f>
        <v>#REF!</v>
      </c>
      <c r="X32" s="55" t="e">
        <f>IF(AND(#REF!="Media",#REF!="Moderado"),CONCATENATE("R7C",#REF!),"")</f>
        <v>#REF!</v>
      </c>
      <c r="Y32" s="55" t="e">
        <f>IF(AND(#REF!="Media",#REF!="Moderado"),CONCATENATE("R7C",#REF!),"")</f>
        <v>#REF!</v>
      </c>
      <c r="Z32" s="55" t="e">
        <f>IF(AND(#REF!="Media",#REF!="Moderado"),CONCATENATE("R7C",#REF!),"")</f>
        <v>#REF!</v>
      </c>
      <c r="AA32" s="56" t="e">
        <f>IF(AND(#REF!="Media",#REF!="Moderado"),CONCATENATE("R7C",#REF!),"")</f>
        <v>#REF!</v>
      </c>
      <c r="AB32" s="39" t="e">
        <f>IF(AND(#REF!="Media",#REF!="Mayor"),CONCATENATE("R7C",#REF!),"")</f>
        <v>#REF!</v>
      </c>
      <c r="AC32" s="40" t="e">
        <f>IF(AND(#REF!="Media",#REF!="Mayor"),CONCATENATE("R7C",#REF!),"")</f>
        <v>#REF!</v>
      </c>
      <c r="AD32" s="40" t="e">
        <f>IF(AND(#REF!="Media",#REF!="Mayor"),CONCATENATE("R7C",#REF!),"")</f>
        <v>#REF!</v>
      </c>
      <c r="AE32" s="40" t="e">
        <f>IF(AND(#REF!="Media",#REF!="Mayor"),CONCATENATE("R7C",#REF!),"")</f>
        <v>#REF!</v>
      </c>
      <c r="AF32" s="40" t="e">
        <f>IF(AND(#REF!="Media",#REF!="Mayor"),CONCATENATE("R7C",#REF!),"")</f>
        <v>#REF!</v>
      </c>
      <c r="AG32" s="41" t="e">
        <f>IF(AND(#REF!="Media",#REF!="Mayor"),CONCATENATE("R7C",#REF!),"")</f>
        <v>#REF!</v>
      </c>
      <c r="AH32" s="42" t="e">
        <f>IF(AND(#REF!="Media",#REF!="Catastrófico"),CONCATENATE("R7C",#REF!),"")</f>
        <v>#REF!</v>
      </c>
      <c r="AI32" s="43" t="e">
        <f>IF(AND(#REF!="Media",#REF!="Catastrófico"),CONCATENATE("R7C",#REF!),"")</f>
        <v>#REF!</v>
      </c>
      <c r="AJ32" s="43" t="e">
        <f>IF(AND(#REF!="Media",#REF!="Catastrófico"),CONCATENATE("R7C",#REF!),"")</f>
        <v>#REF!</v>
      </c>
      <c r="AK32" s="43" t="e">
        <f>IF(AND(#REF!="Media",#REF!="Catastrófico"),CONCATENATE("R7C",#REF!),"")</f>
        <v>#REF!</v>
      </c>
      <c r="AL32" s="43" t="e">
        <f>IF(AND(#REF!="Media",#REF!="Catastrófico"),CONCATENATE("R7C",#REF!),"")</f>
        <v>#REF!</v>
      </c>
      <c r="AM32" s="44" t="e">
        <f>IF(AND(#REF!="Media",#REF!="Catastrófico"),CONCATENATE("R7C",#REF!),"")</f>
        <v>#REF!</v>
      </c>
      <c r="AN32" s="70"/>
      <c r="AO32" s="727"/>
      <c r="AP32" s="728"/>
      <c r="AQ32" s="728"/>
      <c r="AR32" s="728"/>
      <c r="AS32" s="728"/>
      <c r="AT32" s="729"/>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646"/>
      <c r="C33" s="646"/>
      <c r="D33" s="647"/>
      <c r="E33" s="687"/>
      <c r="F33" s="688"/>
      <c r="G33" s="688"/>
      <c r="H33" s="688"/>
      <c r="I33" s="689"/>
      <c r="J33" s="54" t="e">
        <f>IF(AND(#REF!="Media",#REF!="Leve"),CONCATENATE("R8C",#REF!),"")</f>
        <v>#REF!</v>
      </c>
      <c r="K33" s="55" t="e">
        <f>IF(AND(#REF!="Media",#REF!="Leve"),CONCATENATE("R8C",#REF!),"")</f>
        <v>#REF!</v>
      </c>
      <c r="L33" s="55" t="e">
        <f>IF(AND(#REF!="Media",#REF!="Leve"),CONCATENATE("R8C",#REF!),"")</f>
        <v>#REF!</v>
      </c>
      <c r="M33" s="55" t="e">
        <f>IF(AND(#REF!="Media",#REF!="Leve"),CONCATENATE("R8C",#REF!),"")</f>
        <v>#REF!</v>
      </c>
      <c r="N33" s="55" t="e">
        <f>IF(AND(#REF!="Media",#REF!="Leve"),CONCATENATE("R8C",#REF!),"")</f>
        <v>#REF!</v>
      </c>
      <c r="O33" s="56" t="e">
        <f>IF(AND(#REF!="Media",#REF!="Leve"),CONCATENATE("R8C",#REF!),"")</f>
        <v>#REF!</v>
      </c>
      <c r="P33" s="54" t="e">
        <f>IF(AND(#REF!="Media",#REF!="Menor"),CONCATENATE("R8C",#REF!),"")</f>
        <v>#REF!</v>
      </c>
      <c r="Q33" s="55" t="e">
        <f>IF(AND(#REF!="Media",#REF!="Menor"),CONCATENATE("R8C",#REF!),"")</f>
        <v>#REF!</v>
      </c>
      <c r="R33" s="55" t="e">
        <f>IF(AND(#REF!="Media",#REF!="Menor"),CONCATENATE("R8C",#REF!),"")</f>
        <v>#REF!</v>
      </c>
      <c r="S33" s="55" t="e">
        <f>IF(AND(#REF!="Media",#REF!="Menor"),CONCATENATE("R8C",#REF!),"")</f>
        <v>#REF!</v>
      </c>
      <c r="T33" s="55" t="e">
        <f>IF(AND(#REF!="Media",#REF!="Menor"),CONCATENATE("R8C",#REF!),"")</f>
        <v>#REF!</v>
      </c>
      <c r="U33" s="56" t="e">
        <f>IF(AND(#REF!="Media",#REF!="Menor"),CONCATENATE("R8C",#REF!),"")</f>
        <v>#REF!</v>
      </c>
      <c r="V33" s="54" t="e">
        <f>IF(AND(#REF!="Media",#REF!="Moderado"),CONCATENATE("R8C",#REF!),"")</f>
        <v>#REF!</v>
      </c>
      <c r="W33" s="55" t="e">
        <f>IF(AND(#REF!="Media",#REF!="Moderado"),CONCATENATE("R8C",#REF!),"")</f>
        <v>#REF!</v>
      </c>
      <c r="X33" s="55" t="e">
        <f>IF(AND(#REF!="Media",#REF!="Moderado"),CONCATENATE("R8C",#REF!),"")</f>
        <v>#REF!</v>
      </c>
      <c r="Y33" s="55" t="e">
        <f>IF(AND(#REF!="Media",#REF!="Moderado"),CONCATENATE("R8C",#REF!),"")</f>
        <v>#REF!</v>
      </c>
      <c r="Z33" s="55" t="e">
        <f>IF(AND(#REF!="Media",#REF!="Moderado"),CONCATENATE("R8C",#REF!),"")</f>
        <v>#REF!</v>
      </c>
      <c r="AA33" s="56" t="e">
        <f>IF(AND(#REF!="Media",#REF!="Moderado"),CONCATENATE("R8C",#REF!),"")</f>
        <v>#REF!</v>
      </c>
      <c r="AB33" s="39" t="e">
        <f>IF(AND(#REF!="Media",#REF!="Mayor"),CONCATENATE("R8C",#REF!),"")</f>
        <v>#REF!</v>
      </c>
      <c r="AC33" s="40" t="e">
        <f>IF(AND(#REF!="Media",#REF!="Mayor"),CONCATENATE("R8C",#REF!),"")</f>
        <v>#REF!</v>
      </c>
      <c r="AD33" s="40" t="e">
        <f>IF(AND(#REF!="Media",#REF!="Mayor"),CONCATENATE("R8C",#REF!),"")</f>
        <v>#REF!</v>
      </c>
      <c r="AE33" s="40" t="e">
        <f>IF(AND(#REF!="Media",#REF!="Mayor"),CONCATENATE("R8C",#REF!),"")</f>
        <v>#REF!</v>
      </c>
      <c r="AF33" s="40" t="e">
        <f>IF(AND(#REF!="Media",#REF!="Mayor"),CONCATENATE("R8C",#REF!),"")</f>
        <v>#REF!</v>
      </c>
      <c r="AG33" s="41" t="e">
        <f>IF(AND(#REF!="Media",#REF!="Mayor"),CONCATENATE("R8C",#REF!),"")</f>
        <v>#REF!</v>
      </c>
      <c r="AH33" s="42" t="e">
        <f>IF(AND(#REF!="Media",#REF!="Catastrófico"),CONCATENATE("R8C",#REF!),"")</f>
        <v>#REF!</v>
      </c>
      <c r="AI33" s="43" t="e">
        <f>IF(AND(#REF!="Media",#REF!="Catastrófico"),CONCATENATE("R8C",#REF!),"")</f>
        <v>#REF!</v>
      </c>
      <c r="AJ33" s="43" t="e">
        <f>IF(AND(#REF!="Media",#REF!="Catastrófico"),CONCATENATE("R8C",#REF!),"")</f>
        <v>#REF!</v>
      </c>
      <c r="AK33" s="43" t="e">
        <f>IF(AND(#REF!="Media",#REF!="Catastrófico"),CONCATENATE("R8C",#REF!),"")</f>
        <v>#REF!</v>
      </c>
      <c r="AL33" s="43" t="e">
        <f>IF(AND(#REF!="Media",#REF!="Catastrófico"),CONCATENATE("R8C",#REF!),"")</f>
        <v>#REF!</v>
      </c>
      <c r="AM33" s="44" t="e">
        <f>IF(AND(#REF!="Media",#REF!="Catastrófico"),CONCATENATE("R8C",#REF!),"")</f>
        <v>#REF!</v>
      </c>
      <c r="AN33" s="70"/>
      <c r="AO33" s="727"/>
      <c r="AP33" s="728"/>
      <c r="AQ33" s="728"/>
      <c r="AR33" s="728"/>
      <c r="AS33" s="728"/>
      <c r="AT33" s="729"/>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646"/>
      <c r="C34" s="646"/>
      <c r="D34" s="647"/>
      <c r="E34" s="687"/>
      <c r="F34" s="688"/>
      <c r="G34" s="688"/>
      <c r="H34" s="688"/>
      <c r="I34" s="689"/>
      <c r="J34" s="54" t="e">
        <f>IF(AND(#REF!="Media",#REF!="Leve"),CONCATENATE("R9C",#REF!),"")</f>
        <v>#REF!</v>
      </c>
      <c r="K34" s="55" t="e">
        <f>IF(AND(#REF!="Media",#REF!="Leve"),CONCATENATE("R9C",#REF!),"")</f>
        <v>#REF!</v>
      </c>
      <c r="L34" s="55" t="e">
        <f>IF(AND(#REF!="Media",#REF!="Leve"),CONCATENATE("R9C",#REF!),"")</f>
        <v>#REF!</v>
      </c>
      <c r="M34" s="55" t="e">
        <f>IF(AND(#REF!="Media",#REF!="Leve"),CONCATENATE("R9C",#REF!),"")</f>
        <v>#REF!</v>
      </c>
      <c r="N34" s="55" t="e">
        <f>IF(AND(#REF!="Media",#REF!="Leve"),CONCATENATE("R9C",#REF!),"")</f>
        <v>#REF!</v>
      </c>
      <c r="O34" s="56" t="e">
        <f>IF(AND(#REF!="Media",#REF!="Leve"),CONCATENATE("R9C",#REF!),"")</f>
        <v>#REF!</v>
      </c>
      <c r="P34" s="54" t="e">
        <f>IF(AND(#REF!="Media",#REF!="Menor"),CONCATENATE("R9C",#REF!),"")</f>
        <v>#REF!</v>
      </c>
      <c r="Q34" s="55" t="e">
        <f>IF(AND(#REF!="Media",#REF!="Menor"),CONCATENATE("R9C",#REF!),"")</f>
        <v>#REF!</v>
      </c>
      <c r="R34" s="55" t="e">
        <f>IF(AND(#REF!="Media",#REF!="Menor"),CONCATENATE("R9C",#REF!),"")</f>
        <v>#REF!</v>
      </c>
      <c r="S34" s="55" t="e">
        <f>IF(AND(#REF!="Media",#REF!="Menor"),CONCATENATE("R9C",#REF!),"")</f>
        <v>#REF!</v>
      </c>
      <c r="T34" s="55" t="e">
        <f>IF(AND(#REF!="Media",#REF!="Menor"),CONCATENATE("R9C",#REF!),"")</f>
        <v>#REF!</v>
      </c>
      <c r="U34" s="56" t="e">
        <f>IF(AND(#REF!="Media",#REF!="Menor"),CONCATENATE("R9C",#REF!),"")</f>
        <v>#REF!</v>
      </c>
      <c r="V34" s="54" t="e">
        <f>IF(AND(#REF!="Media",#REF!="Moderado"),CONCATENATE("R9C",#REF!),"")</f>
        <v>#REF!</v>
      </c>
      <c r="W34" s="55" t="e">
        <f>IF(AND(#REF!="Media",#REF!="Moderado"),CONCATENATE("R9C",#REF!),"")</f>
        <v>#REF!</v>
      </c>
      <c r="X34" s="55" t="e">
        <f>IF(AND(#REF!="Media",#REF!="Moderado"),CONCATENATE("R9C",#REF!),"")</f>
        <v>#REF!</v>
      </c>
      <c r="Y34" s="55" t="e">
        <f>IF(AND(#REF!="Media",#REF!="Moderado"),CONCATENATE("R9C",#REF!),"")</f>
        <v>#REF!</v>
      </c>
      <c r="Z34" s="55" t="e">
        <f>IF(AND(#REF!="Media",#REF!="Moderado"),CONCATENATE("R9C",#REF!),"")</f>
        <v>#REF!</v>
      </c>
      <c r="AA34" s="56" t="e">
        <f>IF(AND(#REF!="Media",#REF!="Moderado"),CONCATENATE("R9C",#REF!),"")</f>
        <v>#REF!</v>
      </c>
      <c r="AB34" s="39" t="e">
        <f>IF(AND(#REF!="Media",#REF!="Mayor"),CONCATENATE("R9C",#REF!),"")</f>
        <v>#REF!</v>
      </c>
      <c r="AC34" s="40" t="e">
        <f>IF(AND(#REF!="Media",#REF!="Mayor"),CONCATENATE("R9C",#REF!),"")</f>
        <v>#REF!</v>
      </c>
      <c r="AD34" s="40" t="e">
        <f>IF(AND(#REF!="Media",#REF!="Mayor"),CONCATENATE("R9C",#REF!),"")</f>
        <v>#REF!</v>
      </c>
      <c r="AE34" s="40" t="e">
        <f>IF(AND(#REF!="Media",#REF!="Mayor"),CONCATENATE("R9C",#REF!),"")</f>
        <v>#REF!</v>
      </c>
      <c r="AF34" s="40" t="e">
        <f>IF(AND(#REF!="Media",#REF!="Mayor"),CONCATENATE("R9C",#REF!),"")</f>
        <v>#REF!</v>
      </c>
      <c r="AG34" s="41" t="e">
        <f>IF(AND(#REF!="Media",#REF!="Mayor"),CONCATENATE("R9C",#REF!),"")</f>
        <v>#REF!</v>
      </c>
      <c r="AH34" s="42" t="e">
        <f>IF(AND(#REF!="Media",#REF!="Catastrófico"),CONCATENATE("R9C",#REF!),"")</f>
        <v>#REF!</v>
      </c>
      <c r="AI34" s="43" t="e">
        <f>IF(AND(#REF!="Media",#REF!="Catastrófico"),CONCATENATE("R9C",#REF!),"")</f>
        <v>#REF!</v>
      </c>
      <c r="AJ34" s="43" t="e">
        <f>IF(AND(#REF!="Media",#REF!="Catastrófico"),CONCATENATE("R9C",#REF!),"")</f>
        <v>#REF!</v>
      </c>
      <c r="AK34" s="43" t="e">
        <f>IF(AND(#REF!="Media",#REF!="Catastrófico"),CONCATENATE("R9C",#REF!),"")</f>
        <v>#REF!</v>
      </c>
      <c r="AL34" s="43" t="e">
        <f>IF(AND(#REF!="Media",#REF!="Catastrófico"),CONCATENATE("R9C",#REF!),"")</f>
        <v>#REF!</v>
      </c>
      <c r="AM34" s="44" t="e">
        <f>IF(AND(#REF!="Media",#REF!="Catastrófico"),CONCATENATE("R9C",#REF!),"")</f>
        <v>#REF!</v>
      </c>
      <c r="AN34" s="70"/>
      <c r="AO34" s="727"/>
      <c r="AP34" s="728"/>
      <c r="AQ34" s="728"/>
      <c r="AR34" s="728"/>
      <c r="AS34" s="728"/>
      <c r="AT34" s="729"/>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646"/>
      <c r="C35" s="646"/>
      <c r="D35" s="647"/>
      <c r="E35" s="690"/>
      <c r="F35" s="691"/>
      <c r="G35" s="691"/>
      <c r="H35" s="691"/>
      <c r="I35" s="692"/>
      <c r="J35" s="54" t="e">
        <f>IF(AND(#REF!="Media",#REF!="Leve"),CONCATENATE("R10C",#REF!),"")</f>
        <v>#REF!</v>
      </c>
      <c r="K35" s="55" t="e">
        <f>IF(AND(#REF!="Media",#REF!="Leve"),CONCATENATE("R10C",#REF!),"")</f>
        <v>#REF!</v>
      </c>
      <c r="L35" s="55" t="e">
        <f>IF(AND(#REF!="Media",#REF!="Leve"),CONCATENATE("R10C",#REF!),"")</f>
        <v>#REF!</v>
      </c>
      <c r="M35" s="55" t="e">
        <f>IF(AND(#REF!="Media",#REF!="Leve"),CONCATENATE("R10C",#REF!),"")</f>
        <v>#REF!</v>
      </c>
      <c r="N35" s="55" t="e">
        <f>IF(AND(#REF!="Media",#REF!="Leve"),CONCATENATE("R10C",#REF!),"")</f>
        <v>#REF!</v>
      </c>
      <c r="O35" s="56" t="e">
        <f>IF(AND(#REF!="Media",#REF!="Leve"),CONCATENATE("R10C",#REF!),"")</f>
        <v>#REF!</v>
      </c>
      <c r="P35" s="54" t="e">
        <f>IF(AND(#REF!="Media",#REF!="Menor"),CONCATENATE("R10C",#REF!),"")</f>
        <v>#REF!</v>
      </c>
      <c r="Q35" s="55" t="e">
        <f>IF(AND(#REF!="Media",#REF!="Menor"),CONCATENATE("R10C",#REF!),"")</f>
        <v>#REF!</v>
      </c>
      <c r="R35" s="55" t="e">
        <f>IF(AND(#REF!="Media",#REF!="Menor"),CONCATENATE("R10C",#REF!),"")</f>
        <v>#REF!</v>
      </c>
      <c r="S35" s="55" t="e">
        <f>IF(AND(#REF!="Media",#REF!="Menor"),CONCATENATE("R10C",#REF!),"")</f>
        <v>#REF!</v>
      </c>
      <c r="T35" s="55" t="e">
        <f>IF(AND(#REF!="Media",#REF!="Menor"),CONCATENATE("R10C",#REF!),"")</f>
        <v>#REF!</v>
      </c>
      <c r="U35" s="56" t="e">
        <f>IF(AND(#REF!="Media",#REF!="Menor"),CONCATENATE("R10C",#REF!),"")</f>
        <v>#REF!</v>
      </c>
      <c r="V35" s="54" t="e">
        <f>IF(AND(#REF!="Media",#REF!="Moderado"),CONCATENATE("R10C",#REF!),"")</f>
        <v>#REF!</v>
      </c>
      <c r="W35" s="55" t="e">
        <f>IF(AND(#REF!="Media",#REF!="Moderado"),CONCATENATE("R10C",#REF!),"")</f>
        <v>#REF!</v>
      </c>
      <c r="X35" s="55" t="e">
        <f>IF(AND(#REF!="Media",#REF!="Moderado"),CONCATENATE("R10C",#REF!),"")</f>
        <v>#REF!</v>
      </c>
      <c r="Y35" s="55" t="e">
        <f>IF(AND(#REF!="Media",#REF!="Moderado"),CONCATENATE("R10C",#REF!),"")</f>
        <v>#REF!</v>
      </c>
      <c r="Z35" s="55" t="e">
        <f>IF(AND(#REF!="Media",#REF!="Moderado"),CONCATENATE("R10C",#REF!),"")</f>
        <v>#REF!</v>
      </c>
      <c r="AA35" s="56" t="e">
        <f>IF(AND(#REF!="Media",#REF!="Moderado"),CONCATENATE("R10C",#REF!),"")</f>
        <v>#REF!</v>
      </c>
      <c r="AB35" s="45" t="e">
        <f>IF(AND(#REF!="Media",#REF!="Mayor"),CONCATENATE("R10C",#REF!),"")</f>
        <v>#REF!</v>
      </c>
      <c r="AC35" s="46" t="e">
        <f>IF(AND(#REF!="Media",#REF!="Mayor"),CONCATENATE("R10C",#REF!),"")</f>
        <v>#REF!</v>
      </c>
      <c r="AD35" s="46" t="e">
        <f>IF(AND(#REF!="Media",#REF!="Mayor"),CONCATENATE("R10C",#REF!),"")</f>
        <v>#REF!</v>
      </c>
      <c r="AE35" s="46" t="e">
        <f>IF(AND(#REF!="Media",#REF!="Mayor"),CONCATENATE("R10C",#REF!),"")</f>
        <v>#REF!</v>
      </c>
      <c r="AF35" s="46" t="e">
        <f>IF(AND(#REF!="Media",#REF!="Mayor"),CONCATENATE("R10C",#REF!),"")</f>
        <v>#REF!</v>
      </c>
      <c r="AG35" s="47" t="e">
        <f>IF(AND(#REF!="Media",#REF!="Mayor"),CONCATENATE("R10C",#REF!),"")</f>
        <v>#REF!</v>
      </c>
      <c r="AH35" s="48" t="e">
        <f>IF(AND(#REF!="Media",#REF!="Catastrófico"),CONCATENATE("R10C",#REF!),"")</f>
        <v>#REF!</v>
      </c>
      <c r="AI35" s="49" t="e">
        <f>IF(AND(#REF!="Media",#REF!="Catastrófico"),CONCATENATE("R10C",#REF!),"")</f>
        <v>#REF!</v>
      </c>
      <c r="AJ35" s="49" t="e">
        <f>IF(AND(#REF!="Media",#REF!="Catastrófico"),CONCATENATE("R10C",#REF!),"")</f>
        <v>#REF!</v>
      </c>
      <c r="AK35" s="49" t="e">
        <f>IF(AND(#REF!="Media",#REF!="Catastrófico"),CONCATENATE("R10C",#REF!),"")</f>
        <v>#REF!</v>
      </c>
      <c r="AL35" s="49" t="e">
        <f>IF(AND(#REF!="Media",#REF!="Catastrófico"),CONCATENATE("R10C",#REF!),"")</f>
        <v>#REF!</v>
      </c>
      <c r="AM35" s="50" t="e">
        <f>IF(AND(#REF!="Media",#REF!="Catastrófico"),CONCATENATE("R10C",#REF!),"")</f>
        <v>#REF!</v>
      </c>
      <c r="AN35" s="70"/>
      <c r="AO35" s="730"/>
      <c r="AP35" s="731"/>
      <c r="AQ35" s="731"/>
      <c r="AR35" s="731"/>
      <c r="AS35" s="731"/>
      <c r="AT35" s="732"/>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646"/>
      <c r="C36" s="646"/>
      <c r="D36" s="647"/>
      <c r="E36" s="684" t="s">
        <v>98</v>
      </c>
      <c r="F36" s="685"/>
      <c r="G36" s="685"/>
      <c r="H36" s="685"/>
      <c r="I36" s="685"/>
      <c r="J36" s="60" t="e">
        <f>IF(AND(#REF!="Baja",#REF!="Leve"),CONCATENATE("R1C",#REF!),"")</f>
        <v>#REF!</v>
      </c>
      <c r="K36" s="61" t="e">
        <f>IF(AND(#REF!="Baja",#REF!="Leve"),CONCATENATE("R1C",#REF!),"")</f>
        <v>#REF!</v>
      </c>
      <c r="L36" s="61" t="e">
        <f>IF(AND(#REF!="Baja",#REF!="Leve"),CONCATENATE("R1C",#REF!),"")</f>
        <v>#REF!</v>
      </c>
      <c r="M36" s="61" t="e">
        <f>IF(AND(#REF!="Baja",#REF!="Leve"),CONCATENATE("R1C",#REF!),"")</f>
        <v>#REF!</v>
      </c>
      <c r="N36" s="61" t="e">
        <f>IF(AND(#REF!="Baja",#REF!="Leve"),CONCATENATE("R1C",#REF!),"")</f>
        <v>#REF!</v>
      </c>
      <c r="O36" s="62" t="e">
        <f>IF(AND(#REF!="Baja",#REF!="Leve"),CONCATENATE("R1C",#REF!),"")</f>
        <v>#REF!</v>
      </c>
      <c r="P36" s="51" t="e">
        <f>IF(AND(#REF!="Baja",#REF!="Menor"),CONCATENATE("R1C",#REF!),"")</f>
        <v>#REF!</v>
      </c>
      <c r="Q36" s="52" t="e">
        <f>IF(AND(#REF!="Baja",#REF!="Menor"),CONCATENATE("R1C",#REF!),"")</f>
        <v>#REF!</v>
      </c>
      <c r="R36" s="52" t="e">
        <f>IF(AND(#REF!="Baja",#REF!="Menor"),CONCATENATE("R1C",#REF!),"")</f>
        <v>#REF!</v>
      </c>
      <c r="S36" s="52" t="e">
        <f>IF(AND(#REF!="Baja",#REF!="Menor"),CONCATENATE("R1C",#REF!),"")</f>
        <v>#REF!</v>
      </c>
      <c r="T36" s="52" t="e">
        <f>IF(AND(#REF!="Baja",#REF!="Menor"),CONCATENATE("R1C",#REF!),"")</f>
        <v>#REF!</v>
      </c>
      <c r="U36" s="53" t="e">
        <f>IF(AND(#REF!="Baja",#REF!="Menor"),CONCATENATE("R1C",#REF!),"")</f>
        <v>#REF!</v>
      </c>
      <c r="V36" s="51" t="e">
        <f>IF(AND(#REF!="Baja",#REF!="Moderado"),CONCATENATE("R1C",#REF!),"")</f>
        <v>#REF!</v>
      </c>
      <c r="W36" s="52" t="e">
        <f>IF(AND(#REF!="Baja",#REF!="Moderado"),CONCATENATE("R1C",#REF!),"")</f>
        <v>#REF!</v>
      </c>
      <c r="X36" s="52" t="e">
        <f>IF(AND(#REF!="Baja",#REF!="Moderado"),CONCATENATE("R1C",#REF!),"")</f>
        <v>#REF!</v>
      </c>
      <c r="Y36" s="52" t="e">
        <f>IF(AND(#REF!="Baja",#REF!="Moderado"),CONCATENATE("R1C",#REF!),"")</f>
        <v>#REF!</v>
      </c>
      <c r="Z36" s="52" t="e">
        <f>IF(AND(#REF!="Baja",#REF!="Moderado"),CONCATENATE("R1C",#REF!),"")</f>
        <v>#REF!</v>
      </c>
      <c r="AA36" s="53" t="e">
        <f>IF(AND(#REF!="Baja",#REF!="Moderado"),CONCATENATE("R1C",#REF!),"")</f>
        <v>#REF!</v>
      </c>
      <c r="AB36" s="33" t="e">
        <f>IF(AND(#REF!="Baja",#REF!="Mayor"),CONCATENATE("R1C",#REF!),"")</f>
        <v>#REF!</v>
      </c>
      <c r="AC36" s="34" t="e">
        <f>IF(AND(#REF!="Baja",#REF!="Mayor"),CONCATENATE("R1C",#REF!),"")</f>
        <v>#REF!</v>
      </c>
      <c r="AD36" s="34" t="e">
        <f>IF(AND(#REF!="Baja",#REF!="Mayor"),CONCATENATE("R1C",#REF!),"")</f>
        <v>#REF!</v>
      </c>
      <c r="AE36" s="34" t="e">
        <f>IF(AND(#REF!="Baja",#REF!="Mayor"),CONCATENATE("R1C",#REF!),"")</f>
        <v>#REF!</v>
      </c>
      <c r="AF36" s="34" t="e">
        <f>IF(AND(#REF!="Baja",#REF!="Mayor"),CONCATENATE("R1C",#REF!),"")</f>
        <v>#REF!</v>
      </c>
      <c r="AG36" s="35" t="e">
        <f>IF(AND(#REF!="Baja",#REF!="Mayor"),CONCATENATE("R1C",#REF!),"")</f>
        <v>#REF!</v>
      </c>
      <c r="AH36" s="36" t="e">
        <f>IF(AND(#REF!="Baja",#REF!="Catastrófico"),CONCATENATE("R1C",#REF!),"")</f>
        <v>#REF!</v>
      </c>
      <c r="AI36" s="37" t="e">
        <f>IF(AND(#REF!="Baja",#REF!="Catastrófico"),CONCATENATE("R1C",#REF!),"")</f>
        <v>#REF!</v>
      </c>
      <c r="AJ36" s="37" t="e">
        <f>IF(AND(#REF!="Baja",#REF!="Catastrófico"),CONCATENATE("R1C",#REF!),"")</f>
        <v>#REF!</v>
      </c>
      <c r="AK36" s="37" t="e">
        <f>IF(AND(#REF!="Baja",#REF!="Catastrófico"),CONCATENATE("R1C",#REF!),"")</f>
        <v>#REF!</v>
      </c>
      <c r="AL36" s="37" t="e">
        <f>IF(AND(#REF!="Baja",#REF!="Catastrófico"),CONCATENATE("R1C",#REF!),"")</f>
        <v>#REF!</v>
      </c>
      <c r="AM36" s="38" t="e">
        <f>IF(AND(#REF!="Baja",#REF!="Catastrófico"),CONCATENATE("R1C",#REF!),"")</f>
        <v>#REF!</v>
      </c>
      <c r="AN36" s="70"/>
      <c r="AO36" s="715" t="s">
        <v>68</v>
      </c>
      <c r="AP36" s="716"/>
      <c r="AQ36" s="716"/>
      <c r="AR36" s="716"/>
      <c r="AS36" s="716"/>
      <c r="AT36" s="717"/>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646"/>
      <c r="C37" s="646"/>
      <c r="D37" s="647"/>
      <c r="E37" s="703"/>
      <c r="F37" s="688"/>
      <c r="G37" s="688"/>
      <c r="H37" s="688"/>
      <c r="I37" s="688"/>
      <c r="J37" s="63" t="e">
        <f>IF(AND(#REF!="Baja",#REF!="Leve"),CONCATENATE("R2C",#REF!),"")</f>
        <v>#REF!</v>
      </c>
      <c r="K37" s="64" t="e">
        <f>IF(AND(#REF!="Baja",#REF!="Leve"),CONCATENATE("R2C",#REF!),"")</f>
        <v>#REF!</v>
      </c>
      <c r="L37" s="64" t="e">
        <f>IF(AND(#REF!="Baja",#REF!="Leve"),CONCATENATE("R2C",#REF!),"")</f>
        <v>#REF!</v>
      </c>
      <c r="M37" s="64" t="e">
        <f>IF(AND(#REF!="Baja",#REF!="Leve"),CONCATENATE("R2C",#REF!),"")</f>
        <v>#REF!</v>
      </c>
      <c r="N37" s="64" t="e">
        <f>IF(AND(#REF!="Baja",#REF!="Leve"),CONCATENATE("R2C",#REF!),"")</f>
        <v>#REF!</v>
      </c>
      <c r="O37" s="65" t="e">
        <f>IF(AND(#REF!="Baja",#REF!="Leve"),CONCATENATE("R2C",#REF!),"")</f>
        <v>#REF!</v>
      </c>
      <c r="P37" s="54" t="e">
        <f>IF(AND(#REF!="Baja",#REF!="Menor"),CONCATENATE("R2C",#REF!),"")</f>
        <v>#REF!</v>
      </c>
      <c r="Q37" s="55" t="e">
        <f>IF(AND(#REF!="Baja",#REF!="Menor"),CONCATENATE("R2C",#REF!),"")</f>
        <v>#REF!</v>
      </c>
      <c r="R37" s="55" t="e">
        <f>IF(AND(#REF!="Baja",#REF!="Menor"),CONCATENATE("R2C",#REF!),"")</f>
        <v>#REF!</v>
      </c>
      <c r="S37" s="55" t="e">
        <f>IF(AND(#REF!="Baja",#REF!="Menor"),CONCATENATE("R2C",#REF!),"")</f>
        <v>#REF!</v>
      </c>
      <c r="T37" s="55" t="e">
        <f>IF(AND(#REF!="Baja",#REF!="Menor"),CONCATENATE("R2C",#REF!),"")</f>
        <v>#REF!</v>
      </c>
      <c r="U37" s="56" t="e">
        <f>IF(AND(#REF!="Baja",#REF!="Menor"),CONCATENATE("R2C",#REF!),"")</f>
        <v>#REF!</v>
      </c>
      <c r="V37" s="54" t="e">
        <f>IF(AND(#REF!="Baja",#REF!="Moderado"),CONCATENATE("R2C",#REF!),"")</f>
        <v>#REF!</v>
      </c>
      <c r="W37" s="55" t="e">
        <f>IF(AND(#REF!="Baja",#REF!="Moderado"),CONCATENATE("R2C",#REF!),"")</f>
        <v>#REF!</v>
      </c>
      <c r="X37" s="55" t="e">
        <f>IF(AND(#REF!="Baja",#REF!="Moderado"),CONCATENATE("R2C",#REF!),"")</f>
        <v>#REF!</v>
      </c>
      <c r="Y37" s="55" t="e">
        <f>IF(AND(#REF!="Baja",#REF!="Moderado"),CONCATENATE("R2C",#REF!),"")</f>
        <v>#REF!</v>
      </c>
      <c r="Z37" s="55" t="e">
        <f>IF(AND(#REF!="Baja",#REF!="Moderado"),CONCATENATE("R2C",#REF!),"")</f>
        <v>#REF!</v>
      </c>
      <c r="AA37" s="56" t="e">
        <f>IF(AND(#REF!="Baja",#REF!="Moderado"),CONCATENATE("R2C",#REF!),"")</f>
        <v>#REF!</v>
      </c>
      <c r="AB37" s="39" t="e">
        <f>IF(AND(#REF!="Baja",#REF!="Mayor"),CONCATENATE("R2C",#REF!),"")</f>
        <v>#REF!</v>
      </c>
      <c r="AC37" s="40" t="e">
        <f>IF(AND(#REF!="Baja",#REF!="Mayor"),CONCATENATE("R2C",#REF!),"")</f>
        <v>#REF!</v>
      </c>
      <c r="AD37" s="40" t="e">
        <f>IF(AND(#REF!="Baja",#REF!="Mayor"),CONCATENATE("R2C",#REF!),"")</f>
        <v>#REF!</v>
      </c>
      <c r="AE37" s="40" t="e">
        <f>IF(AND(#REF!="Baja",#REF!="Mayor"),CONCATENATE("R2C",#REF!),"")</f>
        <v>#REF!</v>
      </c>
      <c r="AF37" s="40" t="e">
        <f>IF(AND(#REF!="Baja",#REF!="Mayor"),CONCATENATE("R2C",#REF!),"")</f>
        <v>#REF!</v>
      </c>
      <c r="AG37" s="41" t="e">
        <f>IF(AND(#REF!="Baja",#REF!="Mayor"),CONCATENATE("R2C",#REF!),"")</f>
        <v>#REF!</v>
      </c>
      <c r="AH37" s="42" t="e">
        <f>IF(AND(#REF!="Baja",#REF!="Catastrófico"),CONCATENATE("R2C",#REF!),"")</f>
        <v>#REF!</v>
      </c>
      <c r="AI37" s="43" t="e">
        <f>IF(AND(#REF!="Baja",#REF!="Catastrófico"),CONCATENATE("R2C",#REF!),"")</f>
        <v>#REF!</v>
      </c>
      <c r="AJ37" s="43" t="e">
        <f>IF(AND(#REF!="Baja",#REF!="Catastrófico"),CONCATENATE("R2C",#REF!),"")</f>
        <v>#REF!</v>
      </c>
      <c r="AK37" s="43" t="e">
        <f>IF(AND(#REF!="Baja",#REF!="Catastrófico"),CONCATENATE("R2C",#REF!),"")</f>
        <v>#REF!</v>
      </c>
      <c r="AL37" s="43" t="e">
        <f>IF(AND(#REF!="Baja",#REF!="Catastrófico"),CONCATENATE("R2C",#REF!),"")</f>
        <v>#REF!</v>
      </c>
      <c r="AM37" s="44" t="e">
        <f>IF(AND(#REF!="Baja",#REF!="Catastrófico"),CONCATENATE("R2C",#REF!),"")</f>
        <v>#REF!</v>
      </c>
      <c r="AN37" s="70"/>
      <c r="AO37" s="718"/>
      <c r="AP37" s="719"/>
      <c r="AQ37" s="719"/>
      <c r="AR37" s="719"/>
      <c r="AS37" s="719"/>
      <c r="AT37" s="72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646"/>
      <c r="C38" s="646"/>
      <c r="D38" s="647"/>
      <c r="E38" s="687"/>
      <c r="F38" s="688"/>
      <c r="G38" s="688"/>
      <c r="H38" s="688"/>
      <c r="I38" s="688"/>
      <c r="J38" s="63" t="e">
        <f>IF(AND(#REF!="Baja",#REF!="Leve"),CONCATENATE("R3C",#REF!),"")</f>
        <v>#REF!</v>
      </c>
      <c r="K38" s="64" t="e">
        <f>IF(AND(#REF!="Baja",#REF!="Leve"),CONCATENATE("R3C",#REF!),"")</f>
        <v>#REF!</v>
      </c>
      <c r="L38" s="64" t="e">
        <f>IF(AND(#REF!="Baja",#REF!="Leve"),CONCATENATE("R3C",#REF!),"")</f>
        <v>#REF!</v>
      </c>
      <c r="M38" s="64" t="e">
        <f>IF(AND(#REF!="Baja",#REF!="Leve"),CONCATENATE("R3C",#REF!),"")</f>
        <v>#REF!</v>
      </c>
      <c r="N38" s="64" t="e">
        <f>IF(AND(#REF!="Baja",#REF!="Leve"),CONCATENATE("R3C",#REF!),"")</f>
        <v>#REF!</v>
      </c>
      <c r="O38" s="65" t="e">
        <f>IF(AND(#REF!="Baja",#REF!="Leve"),CONCATENATE("R3C",#REF!),"")</f>
        <v>#REF!</v>
      </c>
      <c r="P38" s="54" t="e">
        <f>IF(AND(#REF!="Baja",#REF!="Menor"),CONCATENATE("R3C",#REF!),"")</f>
        <v>#REF!</v>
      </c>
      <c r="Q38" s="55" t="e">
        <f>IF(AND(#REF!="Baja",#REF!="Menor"),CONCATENATE("R3C",#REF!),"")</f>
        <v>#REF!</v>
      </c>
      <c r="R38" s="55" t="e">
        <f>IF(AND(#REF!="Baja",#REF!="Menor"),CONCATENATE("R3C",#REF!),"")</f>
        <v>#REF!</v>
      </c>
      <c r="S38" s="55" t="e">
        <f>IF(AND(#REF!="Baja",#REF!="Menor"),CONCATENATE("R3C",#REF!),"")</f>
        <v>#REF!</v>
      </c>
      <c r="T38" s="55" t="e">
        <f>IF(AND(#REF!="Baja",#REF!="Menor"),CONCATENATE("R3C",#REF!),"")</f>
        <v>#REF!</v>
      </c>
      <c r="U38" s="56" t="e">
        <f>IF(AND(#REF!="Baja",#REF!="Menor"),CONCATENATE("R3C",#REF!),"")</f>
        <v>#REF!</v>
      </c>
      <c r="V38" s="54" t="e">
        <f>IF(AND(#REF!="Baja",#REF!="Moderado"),CONCATENATE("R3C",#REF!),"")</f>
        <v>#REF!</v>
      </c>
      <c r="W38" s="55" t="e">
        <f>IF(AND(#REF!="Baja",#REF!="Moderado"),CONCATENATE("R3C",#REF!),"")</f>
        <v>#REF!</v>
      </c>
      <c r="X38" s="55" t="e">
        <f>IF(AND(#REF!="Baja",#REF!="Moderado"),CONCATENATE("R3C",#REF!),"")</f>
        <v>#REF!</v>
      </c>
      <c r="Y38" s="55" t="e">
        <f>IF(AND(#REF!="Baja",#REF!="Moderado"),CONCATENATE("R3C",#REF!),"")</f>
        <v>#REF!</v>
      </c>
      <c r="Z38" s="55" t="e">
        <f>IF(AND(#REF!="Baja",#REF!="Moderado"),CONCATENATE("R3C",#REF!),"")</f>
        <v>#REF!</v>
      </c>
      <c r="AA38" s="56" t="e">
        <f>IF(AND(#REF!="Baja",#REF!="Moderado"),CONCATENATE("R3C",#REF!),"")</f>
        <v>#REF!</v>
      </c>
      <c r="AB38" s="39" t="e">
        <f>IF(AND(#REF!="Baja",#REF!="Mayor"),CONCATENATE("R3C",#REF!),"")</f>
        <v>#REF!</v>
      </c>
      <c r="AC38" s="40" t="e">
        <f>IF(AND(#REF!="Baja",#REF!="Mayor"),CONCATENATE("R3C",#REF!),"")</f>
        <v>#REF!</v>
      </c>
      <c r="AD38" s="40" t="e">
        <f>IF(AND(#REF!="Baja",#REF!="Mayor"),CONCATENATE("R3C",#REF!),"")</f>
        <v>#REF!</v>
      </c>
      <c r="AE38" s="40" t="e">
        <f>IF(AND(#REF!="Baja",#REF!="Mayor"),CONCATENATE("R3C",#REF!),"")</f>
        <v>#REF!</v>
      </c>
      <c r="AF38" s="40" t="e">
        <f>IF(AND(#REF!="Baja",#REF!="Mayor"),CONCATENATE("R3C",#REF!),"")</f>
        <v>#REF!</v>
      </c>
      <c r="AG38" s="41" t="e">
        <f>IF(AND(#REF!="Baja",#REF!="Mayor"),CONCATENATE("R3C",#REF!),"")</f>
        <v>#REF!</v>
      </c>
      <c r="AH38" s="42" t="e">
        <f>IF(AND(#REF!="Baja",#REF!="Catastrófico"),CONCATENATE("R3C",#REF!),"")</f>
        <v>#REF!</v>
      </c>
      <c r="AI38" s="43" t="e">
        <f>IF(AND(#REF!="Baja",#REF!="Catastrófico"),CONCATENATE("R3C",#REF!),"")</f>
        <v>#REF!</v>
      </c>
      <c r="AJ38" s="43" t="e">
        <f>IF(AND(#REF!="Baja",#REF!="Catastrófico"),CONCATENATE("R3C",#REF!),"")</f>
        <v>#REF!</v>
      </c>
      <c r="AK38" s="43" t="e">
        <f>IF(AND(#REF!="Baja",#REF!="Catastrófico"),CONCATENATE("R3C",#REF!),"")</f>
        <v>#REF!</v>
      </c>
      <c r="AL38" s="43" t="e">
        <f>IF(AND(#REF!="Baja",#REF!="Catastrófico"),CONCATENATE("R3C",#REF!),"")</f>
        <v>#REF!</v>
      </c>
      <c r="AM38" s="44" t="e">
        <f>IF(AND(#REF!="Baja",#REF!="Catastrófico"),CONCATENATE("R3C",#REF!),"")</f>
        <v>#REF!</v>
      </c>
      <c r="AN38" s="70"/>
      <c r="AO38" s="718"/>
      <c r="AP38" s="719"/>
      <c r="AQ38" s="719"/>
      <c r="AR38" s="719"/>
      <c r="AS38" s="719"/>
      <c r="AT38" s="72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646"/>
      <c r="C39" s="646"/>
      <c r="D39" s="647"/>
      <c r="E39" s="687"/>
      <c r="F39" s="688"/>
      <c r="G39" s="688"/>
      <c r="H39" s="688"/>
      <c r="I39" s="688"/>
      <c r="J39" s="63" t="e">
        <f>IF(AND(#REF!="Baja",#REF!="Leve"),CONCATENATE("R4C",#REF!),"")</f>
        <v>#REF!</v>
      </c>
      <c r="K39" s="64" t="e">
        <f>IF(AND(#REF!="Baja",#REF!="Leve"),CONCATENATE("R4C",#REF!),"")</f>
        <v>#REF!</v>
      </c>
      <c r="L39" s="64" t="e">
        <f>IF(AND(#REF!="Baja",#REF!="Leve"),CONCATENATE("R4C",#REF!),"")</f>
        <v>#REF!</v>
      </c>
      <c r="M39" s="64" t="e">
        <f>IF(AND(#REF!="Baja",#REF!="Leve"),CONCATENATE("R4C",#REF!),"")</f>
        <v>#REF!</v>
      </c>
      <c r="N39" s="64" t="e">
        <f>IF(AND(#REF!="Baja",#REF!="Leve"),CONCATENATE("R4C",#REF!),"")</f>
        <v>#REF!</v>
      </c>
      <c r="O39" s="65" t="e">
        <f>IF(AND(#REF!="Baja",#REF!="Leve"),CONCATENATE("R4C",#REF!),"")</f>
        <v>#REF!</v>
      </c>
      <c r="P39" s="54" t="e">
        <f>IF(AND(#REF!="Baja",#REF!="Menor"),CONCATENATE("R4C",#REF!),"")</f>
        <v>#REF!</v>
      </c>
      <c r="Q39" s="55" t="e">
        <f>IF(AND(#REF!="Baja",#REF!="Menor"),CONCATENATE("R4C",#REF!),"")</f>
        <v>#REF!</v>
      </c>
      <c r="R39" s="55" t="e">
        <f>IF(AND(#REF!="Baja",#REF!="Menor"),CONCATENATE("R4C",#REF!),"")</f>
        <v>#REF!</v>
      </c>
      <c r="S39" s="55" t="e">
        <f>IF(AND(#REF!="Baja",#REF!="Menor"),CONCATENATE("R4C",#REF!),"")</f>
        <v>#REF!</v>
      </c>
      <c r="T39" s="55" t="e">
        <f>IF(AND(#REF!="Baja",#REF!="Menor"),CONCATENATE("R4C",#REF!),"")</f>
        <v>#REF!</v>
      </c>
      <c r="U39" s="56" t="e">
        <f>IF(AND(#REF!="Baja",#REF!="Menor"),CONCATENATE("R4C",#REF!),"")</f>
        <v>#REF!</v>
      </c>
      <c r="V39" s="54" t="e">
        <f>IF(AND(#REF!="Baja",#REF!="Moderado"),CONCATENATE("R4C",#REF!),"")</f>
        <v>#REF!</v>
      </c>
      <c r="W39" s="55" t="e">
        <f>IF(AND(#REF!="Baja",#REF!="Moderado"),CONCATENATE("R4C",#REF!),"")</f>
        <v>#REF!</v>
      </c>
      <c r="X39" s="55" t="e">
        <f>IF(AND(#REF!="Baja",#REF!="Moderado"),CONCATENATE("R4C",#REF!),"")</f>
        <v>#REF!</v>
      </c>
      <c r="Y39" s="55" t="e">
        <f>IF(AND(#REF!="Baja",#REF!="Moderado"),CONCATENATE("R4C",#REF!),"")</f>
        <v>#REF!</v>
      </c>
      <c r="Z39" s="55" t="e">
        <f>IF(AND(#REF!="Baja",#REF!="Moderado"),CONCATENATE("R4C",#REF!),"")</f>
        <v>#REF!</v>
      </c>
      <c r="AA39" s="56" t="e">
        <f>IF(AND(#REF!="Baja",#REF!="Moderado"),CONCATENATE("R4C",#REF!),"")</f>
        <v>#REF!</v>
      </c>
      <c r="AB39" s="39" t="e">
        <f>IF(AND(#REF!="Baja",#REF!="Mayor"),CONCATENATE("R4C",#REF!),"")</f>
        <v>#REF!</v>
      </c>
      <c r="AC39" s="40" t="e">
        <f>IF(AND(#REF!="Baja",#REF!="Mayor"),CONCATENATE("R4C",#REF!),"")</f>
        <v>#REF!</v>
      </c>
      <c r="AD39" s="40" t="e">
        <f>IF(AND(#REF!="Baja",#REF!="Mayor"),CONCATENATE("R4C",#REF!),"")</f>
        <v>#REF!</v>
      </c>
      <c r="AE39" s="40" t="e">
        <f>IF(AND(#REF!="Baja",#REF!="Mayor"),CONCATENATE("R4C",#REF!),"")</f>
        <v>#REF!</v>
      </c>
      <c r="AF39" s="40" t="e">
        <f>IF(AND(#REF!="Baja",#REF!="Mayor"),CONCATENATE("R4C",#REF!),"")</f>
        <v>#REF!</v>
      </c>
      <c r="AG39" s="41" t="e">
        <f>IF(AND(#REF!="Baja",#REF!="Mayor"),CONCATENATE("R4C",#REF!),"")</f>
        <v>#REF!</v>
      </c>
      <c r="AH39" s="42" t="e">
        <f>IF(AND(#REF!="Baja",#REF!="Catastrófico"),CONCATENATE("R4C",#REF!),"")</f>
        <v>#REF!</v>
      </c>
      <c r="AI39" s="43" t="e">
        <f>IF(AND(#REF!="Baja",#REF!="Catastrófico"),CONCATENATE("R4C",#REF!),"")</f>
        <v>#REF!</v>
      </c>
      <c r="AJ39" s="43" t="e">
        <f>IF(AND(#REF!="Baja",#REF!="Catastrófico"),CONCATENATE("R4C",#REF!),"")</f>
        <v>#REF!</v>
      </c>
      <c r="AK39" s="43" t="e">
        <f>IF(AND(#REF!="Baja",#REF!="Catastrófico"),CONCATENATE("R4C",#REF!),"")</f>
        <v>#REF!</v>
      </c>
      <c r="AL39" s="43" t="e">
        <f>IF(AND(#REF!="Baja",#REF!="Catastrófico"),CONCATENATE("R4C",#REF!),"")</f>
        <v>#REF!</v>
      </c>
      <c r="AM39" s="44" t="e">
        <f>IF(AND(#REF!="Baja",#REF!="Catastrófico"),CONCATENATE("R4C",#REF!),"")</f>
        <v>#REF!</v>
      </c>
      <c r="AN39" s="70"/>
      <c r="AO39" s="718"/>
      <c r="AP39" s="719"/>
      <c r="AQ39" s="719"/>
      <c r="AR39" s="719"/>
      <c r="AS39" s="719"/>
      <c r="AT39" s="72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646"/>
      <c r="C40" s="646"/>
      <c r="D40" s="647"/>
      <c r="E40" s="687"/>
      <c r="F40" s="688"/>
      <c r="G40" s="688"/>
      <c r="H40" s="688"/>
      <c r="I40" s="688"/>
      <c r="J40" s="63" t="e">
        <f>IF(AND(#REF!="Baja",#REF!="Leve"),CONCATENATE("R5C",#REF!),"")</f>
        <v>#REF!</v>
      </c>
      <c r="K40" s="64" t="e">
        <f>IF(AND(#REF!="Baja",#REF!="Leve"),CONCATENATE("R5C",#REF!),"")</f>
        <v>#REF!</v>
      </c>
      <c r="L40" s="64" t="e">
        <f>IF(AND(#REF!="Baja",#REF!="Leve"),CONCATENATE("R5C",#REF!),"")</f>
        <v>#REF!</v>
      </c>
      <c r="M40" s="64" t="e">
        <f>IF(AND(#REF!="Baja",#REF!="Leve"),CONCATENATE("R5C",#REF!),"")</f>
        <v>#REF!</v>
      </c>
      <c r="N40" s="64" t="e">
        <f>IF(AND(#REF!="Baja",#REF!="Leve"),CONCATENATE("R5C",#REF!),"")</f>
        <v>#REF!</v>
      </c>
      <c r="O40" s="65" t="e">
        <f>IF(AND(#REF!="Baja",#REF!="Leve"),CONCATENATE("R5C",#REF!),"")</f>
        <v>#REF!</v>
      </c>
      <c r="P40" s="54" t="e">
        <f>IF(AND(#REF!="Baja",#REF!="Menor"),CONCATENATE("R5C",#REF!),"")</f>
        <v>#REF!</v>
      </c>
      <c r="Q40" s="55" t="e">
        <f>IF(AND(#REF!="Baja",#REF!="Menor"),CONCATENATE("R5C",#REF!),"")</f>
        <v>#REF!</v>
      </c>
      <c r="R40" s="55" t="e">
        <f>IF(AND(#REF!="Baja",#REF!="Menor"),CONCATENATE("R5C",#REF!),"")</f>
        <v>#REF!</v>
      </c>
      <c r="S40" s="55" t="e">
        <f>IF(AND(#REF!="Baja",#REF!="Menor"),CONCATENATE("R5C",#REF!),"")</f>
        <v>#REF!</v>
      </c>
      <c r="T40" s="55" t="e">
        <f>IF(AND(#REF!="Baja",#REF!="Menor"),CONCATENATE("R5C",#REF!),"")</f>
        <v>#REF!</v>
      </c>
      <c r="U40" s="56" t="e">
        <f>IF(AND(#REF!="Baja",#REF!="Menor"),CONCATENATE("R5C",#REF!),"")</f>
        <v>#REF!</v>
      </c>
      <c r="V40" s="54" t="e">
        <f>IF(AND(#REF!="Baja",#REF!="Moderado"),CONCATENATE("R5C",#REF!),"")</f>
        <v>#REF!</v>
      </c>
      <c r="W40" s="55" t="e">
        <f>IF(AND(#REF!="Baja",#REF!="Moderado"),CONCATENATE("R5C",#REF!),"")</f>
        <v>#REF!</v>
      </c>
      <c r="X40" s="55" t="e">
        <f>IF(AND(#REF!="Baja",#REF!="Moderado"),CONCATENATE("R5C",#REF!),"")</f>
        <v>#REF!</v>
      </c>
      <c r="Y40" s="55" t="e">
        <f>IF(AND(#REF!="Baja",#REF!="Moderado"),CONCATENATE("R5C",#REF!),"")</f>
        <v>#REF!</v>
      </c>
      <c r="Z40" s="55" t="e">
        <f>IF(AND(#REF!="Baja",#REF!="Moderado"),CONCATENATE("R5C",#REF!),"")</f>
        <v>#REF!</v>
      </c>
      <c r="AA40" s="56" t="e">
        <f>IF(AND(#REF!="Baja",#REF!="Moderado"),CONCATENATE("R5C",#REF!),"")</f>
        <v>#REF!</v>
      </c>
      <c r="AB40" s="39" t="e">
        <f>IF(AND(#REF!="Baja",#REF!="Mayor"),CONCATENATE("R5C",#REF!),"")</f>
        <v>#REF!</v>
      </c>
      <c r="AC40" s="40" t="e">
        <f>IF(AND(#REF!="Baja",#REF!="Mayor"),CONCATENATE("R5C",#REF!),"")</f>
        <v>#REF!</v>
      </c>
      <c r="AD40" s="40" t="e">
        <f>IF(AND(#REF!="Baja",#REF!="Mayor"),CONCATENATE("R5C",#REF!),"")</f>
        <v>#REF!</v>
      </c>
      <c r="AE40" s="40" t="e">
        <f>IF(AND(#REF!="Baja",#REF!="Mayor"),CONCATENATE("R5C",#REF!),"")</f>
        <v>#REF!</v>
      </c>
      <c r="AF40" s="40" t="e">
        <f>IF(AND(#REF!="Baja",#REF!="Mayor"),CONCATENATE("R5C",#REF!),"")</f>
        <v>#REF!</v>
      </c>
      <c r="AG40" s="41" t="e">
        <f>IF(AND(#REF!="Baja",#REF!="Mayor"),CONCATENATE("R5C",#REF!),"")</f>
        <v>#REF!</v>
      </c>
      <c r="AH40" s="42" t="e">
        <f>IF(AND(#REF!="Baja",#REF!="Catastrófico"),CONCATENATE("R5C",#REF!),"")</f>
        <v>#REF!</v>
      </c>
      <c r="AI40" s="43" t="e">
        <f>IF(AND(#REF!="Baja",#REF!="Catastrófico"),CONCATENATE("R5C",#REF!),"")</f>
        <v>#REF!</v>
      </c>
      <c r="AJ40" s="43" t="e">
        <f>IF(AND(#REF!="Baja",#REF!="Catastrófico"),CONCATENATE("R5C",#REF!),"")</f>
        <v>#REF!</v>
      </c>
      <c r="AK40" s="43" t="e">
        <f>IF(AND(#REF!="Baja",#REF!="Catastrófico"),CONCATENATE("R5C",#REF!),"")</f>
        <v>#REF!</v>
      </c>
      <c r="AL40" s="43" t="e">
        <f>IF(AND(#REF!="Baja",#REF!="Catastrófico"),CONCATENATE("R5C",#REF!),"")</f>
        <v>#REF!</v>
      </c>
      <c r="AM40" s="44" t="e">
        <f>IF(AND(#REF!="Baja",#REF!="Catastrófico"),CONCATENATE("R5C",#REF!),"")</f>
        <v>#REF!</v>
      </c>
      <c r="AN40" s="70"/>
      <c r="AO40" s="718"/>
      <c r="AP40" s="719"/>
      <c r="AQ40" s="719"/>
      <c r="AR40" s="719"/>
      <c r="AS40" s="719"/>
      <c r="AT40" s="72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646"/>
      <c r="C41" s="646"/>
      <c r="D41" s="647"/>
      <c r="E41" s="687"/>
      <c r="F41" s="688"/>
      <c r="G41" s="688"/>
      <c r="H41" s="688"/>
      <c r="I41" s="688"/>
      <c r="J41" s="63" t="e">
        <f>IF(AND(#REF!="Baja",#REF!="Leve"),CONCATENATE("R6C",#REF!),"")</f>
        <v>#REF!</v>
      </c>
      <c r="K41" s="64" t="e">
        <f>IF(AND(#REF!="Baja",#REF!="Leve"),CONCATENATE("R6C",#REF!),"")</f>
        <v>#REF!</v>
      </c>
      <c r="L41" s="64" t="e">
        <f>IF(AND(#REF!="Baja",#REF!="Leve"),CONCATENATE("R6C",#REF!),"")</f>
        <v>#REF!</v>
      </c>
      <c r="M41" s="64" t="e">
        <f>IF(AND(#REF!="Baja",#REF!="Leve"),CONCATENATE("R6C",#REF!),"")</f>
        <v>#REF!</v>
      </c>
      <c r="N41" s="64" t="e">
        <f>IF(AND(#REF!="Baja",#REF!="Leve"),CONCATENATE("R6C",#REF!),"")</f>
        <v>#REF!</v>
      </c>
      <c r="O41" s="65" t="e">
        <f>IF(AND(#REF!="Baja",#REF!="Leve"),CONCATENATE("R6C",#REF!),"")</f>
        <v>#REF!</v>
      </c>
      <c r="P41" s="54" t="e">
        <f>IF(AND(#REF!="Baja",#REF!="Menor"),CONCATENATE("R6C",#REF!),"")</f>
        <v>#REF!</v>
      </c>
      <c r="Q41" s="55" t="e">
        <f>IF(AND(#REF!="Baja",#REF!="Menor"),CONCATENATE("R6C",#REF!),"")</f>
        <v>#REF!</v>
      </c>
      <c r="R41" s="55" t="e">
        <f>IF(AND(#REF!="Baja",#REF!="Menor"),CONCATENATE("R6C",#REF!),"")</f>
        <v>#REF!</v>
      </c>
      <c r="S41" s="55" t="e">
        <f>IF(AND(#REF!="Baja",#REF!="Menor"),CONCATENATE("R6C",#REF!),"")</f>
        <v>#REF!</v>
      </c>
      <c r="T41" s="55" t="e">
        <f>IF(AND(#REF!="Baja",#REF!="Menor"),CONCATENATE("R6C",#REF!),"")</f>
        <v>#REF!</v>
      </c>
      <c r="U41" s="56" t="e">
        <f>IF(AND(#REF!="Baja",#REF!="Menor"),CONCATENATE("R6C",#REF!),"")</f>
        <v>#REF!</v>
      </c>
      <c r="V41" s="54" t="e">
        <f>IF(AND(#REF!="Baja",#REF!="Moderado"),CONCATENATE("R6C",#REF!),"")</f>
        <v>#REF!</v>
      </c>
      <c r="W41" s="55" t="e">
        <f>IF(AND(#REF!="Baja",#REF!="Moderado"),CONCATENATE("R6C",#REF!),"")</f>
        <v>#REF!</v>
      </c>
      <c r="X41" s="55" t="e">
        <f>IF(AND(#REF!="Baja",#REF!="Moderado"),CONCATENATE("R6C",#REF!),"")</f>
        <v>#REF!</v>
      </c>
      <c r="Y41" s="55" t="e">
        <f>IF(AND(#REF!="Baja",#REF!="Moderado"),CONCATENATE("R6C",#REF!),"")</f>
        <v>#REF!</v>
      </c>
      <c r="Z41" s="55" t="e">
        <f>IF(AND(#REF!="Baja",#REF!="Moderado"),CONCATENATE("R6C",#REF!),"")</f>
        <v>#REF!</v>
      </c>
      <c r="AA41" s="56" t="e">
        <f>IF(AND(#REF!="Baja",#REF!="Moderado"),CONCATENATE("R6C",#REF!),"")</f>
        <v>#REF!</v>
      </c>
      <c r="AB41" s="39" t="e">
        <f>IF(AND(#REF!="Baja",#REF!="Mayor"),CONCATENATE("R6C",#REF!),"")</f>
        <v>#REF!</v>
      </c>
      <c r="AC41" s="40" t="e">
        <f>IF(AND(#REF!="Baja",#REF!="Mayor"),CONCATENATE("R6C",#REF!),"")</f>
        <v>#REF!</v>
      </c>
      <c r="AD41" s="40" t="e">
        <f>IF(AND(#REF!="Baja",#REF!="Mayor"),CONCATENATE("R6C",#REF!),"")</f>
        <v>#REF!</v>
      </c>
      <c r="AE41" s="40" t="e">
        <f>IF(AND(#REF!="Baja",#REF!="Mayor"),CONCATENATE("R6C",#REF!),"")</f>
        <v>#REF!</v>
      </c>
      <c r="AF41" s="40" t="e">
        <f>IF(AND(#REF!="Baja",#REF!="Mayor"),CONCATENATE("R6C",#REF!),"")</f>
        <v>#REF!</v>
      </c>
      <c r="AG41" s="41" t="e">
        <f>IF(AND(#REF!="Baja",#REF!="Mayor"),CONCATENATE("R6C",#REF!),"")</f>
        <v>#REF!</v>
      </c>
      <c r="AH41" s="42" t="e">
        <f>IF(AND(#REF!="Baja",#REF!="Catastrófico"),CONCATENATE("R6C",#REF!),"")</f>
        <v>#REF!</v>
      </c>
      <c r="AI41" s="43" t="e">
        <f>IF(AND(#REF!="Baja",#REF!="Catastrófico"),CONCATENATE("R6C",#REF!),"")</f>
        <v>#REF!</v>
      </c>
      <c r="AJ41" s="43" t="e">
        <f>IF(AND(#REF!="Baja",#REF!="Catastrófico"),CONCATENATE("R6C",#REF!),"")</f>
        <v>#REF!</v>
      </c>
      <c r="AK41" s="43" t="e">
        <f>IF(AND(#REF!="Baja",#REF!="Catastrófico"),CONCATENATE("R6C",#REF!),"")</f>
        <v>#REF!</v>
      </c>
      <c r="AL41" s="43" t="e">
        <f>IF(AND(#REF!="Baja",#REF!="Catastrófico"),CONCATENATE("R6C",#REF!),"")</f>
        <v>#REF!</v>
      </c>
      <c r="AM41" s="44" t="e">
        <f>IF(AND(#REF!="Baja",#REF!="Catastrófico"),CONCATENATE("R6C",#REF!),"")</f>
        <v>#REF!</v>
      </c>
      <c r="AN41" s="70"/>
      <c r="AO41" s="718"/>
      <c r="AP41" s="719"/>
      <c r="AQ41" s="719"/>
      <c r="AR41" s="719"/>
      <c r="AS41" s="719"/>
      <c r="AT41" s="72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646"/>
      <c r="C42" s="646"/>
      <c r="D42" s="647"/>
      <c r="E42" s="687"/>
      <c r="F42" s="688"/>
      <c r="G42" s="688"/>
      <c r="H42" s="688"/>
      <c r="I42" s="688"/>
      <c r="J42" s="63" t="e">
        <f>IF(AND(#REF!="Baja",#REF!="Leve"),CONCATENATE("R7C",#REF!),"")</f>
        <v>#REF!</v>
      </c>
      <c r="K42" s="64" t="e">
        <f>IF(AND(#REF!="Baja",#REF!="Leve"),CONCATENATE("R7C",#REF!),"")</f>
        <v>#REF!</v>
      </c>
      <c r="L42" s="64" t="e">
        <f>IF(AND(#REF!="Baja",#REF!="Leve"),CONCATENATE("R7C",#REF!),"")</f>
        <v>#REF!</v>
      </c>
      <c r="M42" s="64" t="e">
        <f>IF(AND(#REF!="Baja",#REF!="Leve"),CONCATENATE("R7C",#REF!),"")</f>
        <v>#REF!</v>
      </c>
      <c r="N42" s="64" t="e">
        <f>IF(AND(#REF!="Baja",#REF!="Leve"),CONCATENATE("R7C",#REF!),"")</f>
        <v>#REF!</v>
      </c>
      <c r="O42" s="65" t="e">
        <f>IF(AND(#REF!="Baja",#REF!="Leve"),CONCATENATE("R7C",#REF!),"")</f>
        <v>#REF!</v>
      </c>
      <c r="P42" s="54" t="e">
        <f>IF(AND(#REF!="Baja",#REF!="Menor"),CONCATENATE("R7C",#REF!),"")</f>
        <v>#REF!</v>
      </c>
      <c r="Q42" s="55" t="e">
        <f>IF(AND(#REF!="Baja",#REF!="Menor"),CONCATENATE("R7C",#REF!),"")</f>
        <v>#REF!</v>
      </c>
      <c r="R42" s="55" t="e">
        <f>IF(AND(#REF!="Baja",#REF!="Menor"),CONCATENATE("R7C",#REF!),"")</f>
        <v>#REF!</v>
      </c>
      <c r="S42" s="55" t="e">
        <f>IF(AND(#REF!="Baja",#REF!="Menor"),CONCATENATE("R7C",#REF!),"")</f>
        <v>#REF!</v>
      </c>
      <c r="T42" s="55" t="e">
        <f>IF(AND(#REF!="Baja",#REF!="Menor"),CONCATENATE("R7C",#REF!),"")</f>
        <v>#REF!</v>
      </c>
      <c r="U42" s="56" t="e">
        <f>IF(AND(#REF!="Baja",#REF!="Menor"),CONCATENATE("R7C",#REF!),"")</f>
        <v>#REF!</v>
      </c>
      <c r="V42" s="54" t="e">
        <f>IF(AND(#REF!="Baja",#REF!="Moderado"),CONCATENATE("R7C",#REF!),"")</f>
        <v>#REF!</v>
      </c>
      <c r="W42" s="55" t="e">
        <f>IF(AND(#REF!="Baja",#REF!="Moderado"),CONCATENATE("R7C",#REF!),"")</f>
        <v>#REF!</v>
      </c>
      <c r="X42" s="55" t="e">
        <f>IF(AND(#REF!="Baja",#REF!="Moderado"),CONCATENATE("R7C",#REF!),"")</f>
        <v>#REF!</v>
      </c>
      <c r="Y42" s="55" t="e">
        <f>IF(AND(#REF!="Baja",#REF!="Moderado"),CONCATENATE("R7C",#REF!),"")</f>
        <v>#REF!</v>
      </c>
      <c r="Z42" s="55" t="e">
        <f>IF(AND(#REF!="Baja",#REF!="Moderado"),CONCATENATE("R7C",#REF!),"")</f>
        <v>#REF!</v>
      </c>
      <c r="AA42" s="56" t="e">
        <f>IF(AND(#REF!="Baja",#REF!="Moderado"),CONCATENATE("R7C",#REF!),"")</f>
        <v>#REF!</v>
      </c>
      <c r="AB42" s="39" t="e">
        <f>IF(AND(#REF!="Baja",#REF!="Mayor"),CONCATENATE("R7C",#REF!),"")</f>
        <v>#REF!</v>
      </c>
      <c r="AC42" s="40" t="e">
        <f>IF(AND(#REF!="Baja",#REF!="Mayor"),CONCATENATE("R7C",#REF!),"")</f>
        <v>#REF!</v>
      </c>
      <c r="AD42" s="40" t="e">
        <f>IF(AND(#REF!="Baja",#REF!="Mayor"),CONCATENATE("R7C",#REF!),"")</f>
        <v>#REF!</v>
      </c>
      <c r="AE42" s="40" t="e">
        <f>IF(AND(#REF!="Baja",#REF!="Mayor"),CONCATENATE("R7C",#REF!),"")</f>
        <v>#REF!</v>
      </c>
      <c r="AF42" s="40" t="e">
        <f>IF(AND(#REF!="Baja",#REF!="Mayor"),CONCATENATE("R7C",#REF!),"")</f>
        <v>#REF!</v>
      </c>
      <c r="AG42" s="41" t="e">
        <f>IF(AND(#REF!="Baja",#REF!="Mayor"),CONCATENATE("R7C",#REF!),"")</f>
        <v>#REF!</v>
      </c>
      <c r="AH42" s="42" t="e">
        <f>IF(AND(#REF!="Baja",#REF!="Catastrófico"),CONCATENATE("R7C",#REF!),"")</f>
        <v>#REF!</v>
      </c>
      <c r="AI42" s="43" t="e">
        <f>IF(AND(#REF!="Baja",#REF!="Catastrófico"),CONCATENATE("R7C",#REF!),"")</f>
        <v>#REF!</v>
      </c>
      <c r="AJ42" s="43" t="e">
        <f>IF(AND(#REF!="Baja",#REF!="Catastrófico"),CONCATENATE("R7C",#REF!),"")</f>
        <v>#REF!</v>
      </c>
      <c r="AK42" s="43" t="e">
        <f>IF(AND(#REF!="Baja",#REF!="Catastrófico"),CONCATENATE("R7C",#REF!),"")</f>
        <v>#REF!</v>
      </c>
      <c r="AL42" s="43" t="e">
        <f>IF(AND(#REF!="Baja",#REF!="Catastrófico"),CONCATENATE("R7C",#REF!),"")</f>
        <v>#REF!</v>
      </c>
      <c r="AM42" s="44" t="e">
        <f>IF(AND(#REF!="Baja",#REF!="Catastrófico"),CONCATENATE("R7C",#REF!),"")</f>
        <v>#REF!</v>
      </c>
      <c r="AN42" s="70"/>
      <c r="AO42" s="718"/>
      <c r="AP42" s="719"/>
      <c r="AQ42" s="719"/>
      <c r="AR42" s="719"/>
      <c r="AS42" s="719"/>
      <c r="AT42" s="72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646"/>
      <c r="C43" s="646"/>
      <c r="D43" s="647"/>
      <c r="E43" s="687"/>
      <c r="F43" s="688"/>
      <c r="G43" s="688"/>
      <c r="H43" s="688"/>
      <c r="I43" s="688"/>
      <c r="J43" s="63" t="e">
        <f>IF(AND(#REF!="Baja",#REF!="Leve"),CONCATENATE("R8C",#REF!),"")</f>
        <v>#REF!</v>
      </c>
      <c r="K43" s="64" t="e">
        <f>IF(AND(#REF!="Baja",#REF!="Leve"),CONCATENATE("R8C",#REF!),"")</f>
        <v>#REF!</v>
      </c>
      <c r="L43" s="64" t="e">
        <f>IF(AND(#REF!="Baja",#REF!="Leve"),CONCATENATE("R8C",#REF!),"")</f>
        <v>#REF!</v>
      </c>
      <c r="M43" s="64" t="e">
        <f>IF(AND(#REF!="Baja",#REF!="Leve"),CONCATENATE("R8C",#REF!),"")</f>
        <v>#REF!</v>
      </c>
      <c r="N43" s="64" t="e">
        <f>IF(AND(#REF!="Baja",#REF!="Leve"),CONCATENATE("R8C",#REF!),"")</f>
        <v>#REF!</v>
      </c>
      <c r="O43" s="65" t="e">
        <f>IF(AND(#REF!="Baja",#REF!="Leve"),CONCATENATE("R8C",#REF!),"")</f>
        <v>#REF!</v>
      </c>
      <c r="P43" s="54" t="e">
        <f>IF(AND(#REF!="Baja",#REF!="Menor"),CONCATENATE("R8C",#REF!),"")</f>
        <v>#REF!</v>
      </c>
      <c r="Q43" s="55" t="e">
        <f>IF(AND(#REF!="Baja",#REF!="Menor"),CONCATENATE("R8C",#REF!),"")</f>
        <v>#REF!</v>
      </c>
      <c r="R43" s="55" t="e">
        <f>IF(AND(#REF!="Baja",#REF!="Menor"),CONCATENATE("R8C",#REF!),"")</f>
        <v>#REF!</v>
      </c>
      <c r="S43" s="55" t="e">
        <f>IF(AND(#REF!="Baja",#REF!="Menor"),CONCATENATE("R8C",#REF!),"")</f>
        <v>#REF!</v>
      </c>
      <c r="T43" s="55" t="e">
        <f>IF(AND(#REF!="Baja",#REF!="Menor"),CONCATENATE("R8C",#REF!),"")</f>
        <v>#REF!</v>
      </c>
      <c r="U43" s="56" t="e">
        <f>IF(AND(#REF!="Baja",#REF!="Menor"),CONCATENATE("R8C",#REF!),"")</f>
        <v>#REF!</v>
      </c>
      <c r="V43" s="54" t="e">
        <f>IF(AND(#REF!="Baja",#REF!="Moderado"),CONCATENATE("R8C",#REF!),"")</f>
        <v>#REF!</v>
      </c>
      <c r="W43" s="55" t="e">
        <f>IF(AND(#REF!="Baja",#REF!="Moderado"),CONCATENATE("R8C",#REF!),"")</f>
        <v>#REF!</v>
      </c>
      <c r="X43" s="55" t="e">
        <f>IF(AND(#REF!="Baja",#REF!="Moderado"),CONCATENATE("R8C",#REF!),"")</f>
        <v>#REF!</v>
      </c>
      <c r="Y43" s="55" t="e">
        <f>IF(AND(#REF!="Baja",#REF!="Moderado"),CONCATENATE("R8C",#REF!),"")</f>
        <v>#REF!</v>
      </c>
      <c r="Z43" s="55" t="e">
        <f>IF(AND(#REF!="Baja",#REF!="Moderado"),CONCATENATE("R8C",#REF!),"")</f>
        <v>#REF!</v>
      </c>
      <c r="AA43" s="56" t="e">
        <f>IF(AND(#REF!="Baja",#REF!="Moderado"),CONCATENATE("R8C",#REF!),"")</f>
        <v>#REF!</v>
      </c>
      <c r="AB43" s="39" t="e">
        <f>IF(AND(#REF!="Baja",#REF!="Mayor"),CONCATENATE("R8C",#REF!),"")</f>
        <v>#REF!</v>
      </c>
      <c r="AC43" s="40" t="e">
        <f>IF(AND(#REF!="Baja",#REF!="Mayor"),CONCATENATE("R8C",#REF!),"")</f>
        <v>#REF!</v>
      </c>
      <c r="AD43" s="40" t="e">
        <f>IF(AND(#REF!="Baja",#REF!="Mayor"),CONCATENATE("R8C",#REF!),"")</f>
        <v>#REF!</v>
      </c>
      <c r="AE43" s="40" t="e">
        <f>IF(AND(#REF!="Baja",#REF!="Mayor"),CONCATENATE("R8C",#REF!),"")</f>
        <v>#REF!</v>
      </c>
      <c r="AF43" s="40" t="e">
        <f>IF(AND(#REF!="Baja",#REF!="Mayor"),CONCATENATE("R8C",#REF!),"")</f>
        <v>#REF!</v>
      </c>
      <c r="AG43" s="41" t="e">
        <f>IF(AND(#REF!="Baja",#REF!="Mayor"),CONCATENATE("R8C",#REF!),"")</f>
        <v>#REF!</v>
      </c>
      <c r="AH43" s="42" t="e">
        <f>IF(AND(#REF!="Baja",#REF!="Catastrófico"),CONCATENATE("R8C",#REF!),"")</f>
        <v>#REF!</v>
      </c>
      <c r="AI43" s="43" t="e">
        <f>IF(AND(#REF!="Baja",#REF!="Catastrófico"),CONCATENATE("R8C",#REF!),"")</f>
        <v>#REF!</v>
      </c>
      <c r="AJ43" s="43" t="e">
        <f>IF(AND(#REF!="Baja",#REF!="Catastrófico"),CONCATENATE("R8C",#REF!),"")</f>
        <v>#REF!</v>
      </c>
      <c r="AK43" s="43" t="e">
        <f>IF(AND(#REF!="Baja",#REF!="Catastrófico"),CONCATENATE("R8C",#REF!),"")</f>
        <v>#REF!</v>
      </c>
      <c r="AL43" s="43" t="e">
        <f>IF(AND(#REF!="Baja",#REF!="Catastrófico"),CONCATENATE("R8C",#REF!),"")</f>
        <v>#REF!</v>
      </c>
      <c r="AM43" s="44" t="e">
        <f>IF(AND(#REF!="Baja",#REF!="Catastrófico"),CONCATENATE("R8C",#REF!),"")</f>
        <v>#REF!</v>
      </c>
      <c r="AN43" s="70"/>
      <c r="AO43" s="718"/>
      <c r="AP43" s="719"/>
      <c r="AQ43" s="719"/>
      <c r="AR43" s="719"/>
      <c r="AS43" s="719"/>
      <c r="AT43" s="72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646"/>
      <c r="C44" s="646"/>
      <c r="D44" s="647"/>
      <c r="E44" s="687"/>
      <c r="F44" s="688"/>
      <c r="G44" s="688"/>
      <c r="H44" s="688"/>
      <c r="I44" s="688"/>
      <c r="J44" s="63" t="e">
        <f>IF(AND(#REF!="Baja",#REF!="Leve"),CONCATENATE("R9C",#REF!),"")</f>
        <v>#REF!</v>
      </c>
      <c r="K44" s="64" t="e">
        <f>IF(AND(#REF!="Baja",#REF!="Leve"),CONCATENATE("R9C",#REF!),"")</f>
        <v>#REF!</v>
      </c>
      <c r="L44" s="64" t="e">
        <f>IF(AND(#REF!="Baja",#REF!="Leve"),CONCATENATE("R9C",#REF!),"")</f>
        <v>#REF!</v>
      </c>
      <c r="M44" s="64" t="e">
        <f>IF(AND(#REF!="Baja",#REF!="Leve"),CONCATENATE("R9C",#REF!),"")</f>
        <v>#REF!</v>
      </c>
      <c r="N44" s="64" t="e">
        <f>IF(AND(#REF!="Baja",#REF!="Leve"),CONCATENATE("R9C",#REF!),"")</f>
        <v>#REF!</v>
      </c>
      <c r="O44" s="65" t="e">
        <f>IF(AND(#REF!="Baja",#REF!="Leve"),CONCATENATE("R9C",#REF!),"")</f>
        <v>#REF!</v>
      </c>
      <c r="P44" s="54" t="e">
        <f>IF(AND(#REF!="Baja",#REF!="Menor"),CONCATENATE("R9C",#REF!),"")</f>
        <v>#REF!</v>
      </c>
      <c r="Q44" s="55" t="e">
        <f>IF(AND(#REF!="Baja",#REF!="Menor"),CONCATENATE("R9C",#REF!),"")</f>
        <v>#REF!</v>
      </c>
      <c r="R44" s="55" t="e">
        <f>IF(AND(#REF!="Baja",#REF!="Menor"),CONCATENATE("R9C",#REF!),"")</f>
        <v>#REF!</v>
      </c>
      <c r="S44" s="55" t="e">
        <f>IF(AND(#REF!="Baja",#REF!="Menor"),CONCATENATE("R9C",#REF!),"")</f>
        <v>#REF!</v>
      </c>
      <c r="T44" s="55" t="e">
        <f>IF(AND(#REF!="Baja",#REF!="Menor"),CONCATENATE("R9C",#REF!),"")</f>
        <v>#REF!</v>
      </c>
      <c r="U44" s="56" t="e">
        <f>IF(AND(#REF!="Baja",#REF!="Menor"),CONCATENATE("R9C",#REF!),"")</f>
        <v>#REF!</v>
      </c>
      <c r="V44" s="54" t="e">
        <f>IF(AND(#REF!="Baja",#REF!="Moderado"),CONCATENATE("R9C",#REF!),"")</f>
        <v>#REF!</v>
      </c>
      <c r="W44" s="55" t="e">
        <f>IF(AND(#REF!="Baja",#REF!="Moderado"),CONCATENATE("R9C",#REF!),"")</f>
        <v>#REF!</v>
      </c>
      <c r="X44" s="55" t="e">
        <f>IF(AND(#REF!="Baja",#REF!="Moderado"),CONCATENATE("R9C",#REF!),"")</f>
        <v>#REF!</v>
      </c>
      <c r="Y44" s="55" t="e">
        <f>IF(AND(#REF!="Baja",#REF!="Moderado"),CONCATENATE("R9C",#REF!),"")</f>
        <v>#REF!</v>
      </c>
      <c r="Z44" s="55" t="e">
        <f>IF(AND(#REF!="Baja",#REF!="Moderado"),CONCATENATE("R9C",#REF!),"")</f>
        <v>#REF!</v>
      </c>
      <c r="AA44" s="56" t="e">
        <f>IF(AND(#REF!="Baja",#REF!="Moderado"),CONCATENATE("R9C",#REF!),"")</f>
        <v>#REF!</v>
      </c>
      <c r="AB44" s="39" t="e">
        <f>IF(AND(#REF!="Baja",#REF!="Mayor"),CONCATENATE("R9C",#REF!),"")</f>
        <v>#REF!</v>
      </c>
      <c r="AC44" s="40" t="e">
        <f>IF(AND(#REF!="Baja",#REF!="Mayor"),CONCATENATE("R9C",#REF!),"")</f>
        <v>#REF!</v>
      </c>
      <c r="AD44" s="40" t="e">
        <f>IF(AND(#REF!="Baja",#REF!="Mayor"),CONCATENATE("R9C",#REF!),"")</f>
        <v>#REF!</v>
      </c>
      <c r="AE44" s="40" t="e">
        <f>IF(AND(#REF!="Baja",#REF!="Mayor"),CONCATENATE("R9C",#REF!),"")</f>
        <v>#REF!</v>
      </c>
      <c r="AF44" s="40" t="e">
        <f>IF(AND(#REF!="Baja",#REF!="Mayor"),CONCATENATE("R9C",#REF!),"")</f>
        <v>#REF!</v>
      </c>
      <c r="AG44" s="41" t="e">
        <f>IF(AND(#REF!="Baja",#REF!="Mayor"),CONCATENATE("R9C",#REF!),"")</f>
        <v>#REF!</v>
      </c>
      <c r="AH44" s="42" t="e">
        <f>IF(AND(#REF!="Baja",#REF!="Catastrófico"),CONCATENATE("R9C",#REF!),"")</f>
        <v>#REF!</v>
      </c>
      <c r="AI44" s="43" t="e">
        <f>IF(AND(#REF!="Baja",#REF!="Catastrófico"),CONCATENATE("R9C",#REF!),"")</f>
        <v>#REF!</v>
      </c>
      <c r="AJ44" s="43" t="e">
        <f>IF(AND(#REF!="Baja",#REF!="Catastrófico"),CONCATENATE("R9C",#REF!),"")</f>
        <v>#REF!</v>
      </c>
      <c r="AK44" s="43" t="e">
        <f>IF(AND(#REF!="Baja",#REF!="Catastrófico"),CONCATENATE("R9C",#REF!),"")</f>
        <v>#REF!</v>
      </c>
      <c r="AL44" s="43" t="e">
        <f>IF(AND(#REF!="Baja",#REF!="Catastrófico"),CONCATENATE("R9C",#REF!),"")</f>
        <v>#REF!</v>
      </c>
      <c r="AM44" s="44" t="e">
        <f>IF(AND(#REF!="Baja",#REF!="Catastrófico"),CONCATENATE("R9C",#REF!),"")</f>
        <v>#REF!</v>
      </c>
      <c r="AN44" s="70"/>
      <c r="AO44" s="718"/>
      <c r="AP44" s="719"/>
      <c r="AQ44" s="719"/>
      <c r="AR44" s="719"/>
      <c r="AS44" s="719"/>
      <c r="AT44" s="72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646"/>
      <c r="C45" s="646"/>
      <c r="D45" s="647"/>
      <c r="E45" s="690"/>
      <c r="F45" s="691"/>
      <c r="G45" s="691"/>
      <c r="H45" s="691"/>
      <c r="I45" s="691"/>
      <c r="J45" s="66" t="e">
        <f>IF(AND(#REF!="Baja",#REF!="Leve"),CONCATENATE("R10C",#REF!),"")</f>
        <v>#REF!</v>
      </c>
      <c r="K45" s="67" t="e">
        <f>IF(AND(#REF!="Baja",#REF!="Leve"),CONCATENATE("R10C",#REF!),"")</f>
        <v>#REF!</v>
      </c>
      <c r="L45" s="67" t="e">
        <f>IF(AND(#REF!="Baja",#REF!="Leve"),CONCATENATE("R10C",#REF!),"")</f>
        <v>#REF!</v>
      </c>
      <c r="M45" s="67" t="e">
        <f>IF(AND(#REF!="Baja",#REF!="Leve"),CONCATENATE("R10C",#REF!),"")</f>
        <v>#REF!</v>
      </c>
      <c r="N45" s="67" t="e">
        <f>IF(AND(#REF!="Baja",#REF!="Leve"),CONCATENATE("R10C",#REF!),"")</f>
        <v>#REF!</v>
      </c>
      <c r="O45" s="68" t="e">
        <f>IF(AND(#REF!="Baja",#REF!="Leve"),CONCATENATE("R10C",#REF!),"")</f>
        <v>#REF!</v>
      </c>
      <c r="P45" s="54" t="e">
        <f>IF(AND(#REF!="Baja",#REF!="Menor"),CONCATENATE("R10C",#REF!),"")</f>
        <v>#REF!</v>
      </c>
      <c r="Q45" s="55" t="e">
        <f>IF(AND(#REF!="Baja",#REF!="Menor"),CONCATENATE("R10C",#REF!),"")</f>
        <v>#REF!</v>
      </c>
      <c r="R45" s="55" t="e">
        <f>IF(AND(#REF!="Baja",#REF!="Menor"),CONCATENATE("R10C",#REF!),"")</f>
        <v>#REF!</v>
      </c>
      <c r="S45" s="55" t="e">
        <f>IF(AND(#REF!="Baja",#REF!="Menor"),CONCATENATE("R10C",#REF!),"")</f>
        <v>#REF!</v>
      </c>
      <c r="T45" s="55" t="e">
        <f>IF(AND(#REF!="Baja",#REF!="Menor"),CONCATENATE("R10C",#REF!),"")</f>
        <v>#REF!</v>
      </c>
      <c r="U45" s="56" t="e">
        <f>IF(AND(#REF!="Baja",#REF!="Menor"),CONCATENATE("R10C",#REF!),"")</f>
        <v>#REF!</v>
      </c>
      <c r="V45" s="57" t="e">
        <f>IF(AND(#REF!="Baja",#REF!="Moderado"),CONCATENATE("R10C",#REF!),"")</f>
        <v>#REF!</v>
      </c>
      <c r="W45" s="58" t="e">
        <f>IF(AND(#REF!="Baja",#REF!="Moderado"),CONCATENATE("R10C",#REF!),"")</f>
        <v>#REF!</v>
      </c>
      <c r="X45" s="58" t="e">
        <f>IF(AND(#REF!="Baja",#REF!="Moderado"),CONCATENATE("R10C",#REF!),"")</f>
        <v>#REF!</v>
      </c>
      <c r="Y45" s="58" t="e">
        <f>IF(AND(#REF!="Baja",#REF!="Moderado"),CONCATENATE("R10C",#REF!),"")</f>
        <v>#REF!</v>
      </c>
      <c r="Z45" s="58" t="e">
        <f>IF(AND(#REF!="Baja",#REF!="Moderado"),CONCATENATE("R10C",#REF!),"")</f>
        <v>#REF!</v>
      </c>
      <c r="AA45" s="59" t="e">
        <f>IF(AND(#REF!="Baja",#REF!="Moderado"),CONCATENATE("R10C",#REF!),"")</f>
        <v>#REF!</v>
      </c>
      <c r="AB45" s="45" t="e">
        <f>IF(AND(#REF!="Baja",#REF!="Mayor"),CONCATENATE("R10C",#REF!),"")</f>
        <v>#REF!</v>
      </c>
      <c r="AC45" s="46" t="e">
        <f>IF(AND(#REF!="Baja",#REF!="Mayor"),CONCATENATE("R10C",#REF!),"")</f>
        <v>#REF!</v>
      </c>
      <c r="AD45" s="46" t="e">
        <f>IF(AND(#REF!="Baja",#REF!="Mayor"),CONCATENATE("R10C",#REF!),"")</f>
        <v>#REF!</v>
      </c>
      <c r="AE45" s="46" t="e">
        <f>IF(AND(#REF!="Baja",#REF!="Mayor"),CONCATENATE("R10C",#REF!),"")</f>
        <v>#REF!</v>
      </c>
      <c r="AF45" s="46" t="e">
        <f>IF(AND(#REF!="Baja",#REF!="Mayor"),CONCATENATE("R10C",#REF!),"")</f>
        <v>#REF!</v>
      </c>
      <c r="AG45" s="47" t="e">
        <f>IF(AND(#REF!="Baja",#REF!="Mayor"),CONCATENATE("R10C",#REF!),"")</f>
        <v>#REF!</v>
      </c>
      <c r="AH45" s="48" t="e">
        <f>IF(AND(#REF!="Baja",#REF!="Catastrófico"),CONCATENATE("R10C",#REF!),"")</f>
        <v>#REF!</v>
      </c>
      <c r="AI45" s="49" t="e">
        <f>IF(AND(#REF!="Baja",#REF!="Catastrófico"),CONCATENATE("R10C",#REF!),"")</f>
        <v>#REF!</v>
      </c>
      <c r="AJ45" s="49" t="e">
        <f>IF(AND(#REF!="Baja",#REF!="Catastrófico"),CONCATENATE("R10C",#REF!),"")</f>
        <v>#REF!</v>
      </c>
      <c r="AK45" s="49" t="e">
        <f>IF(AND(#REF!="Baja",#REF!="Catastrófico"),CONCATENATE("R10C",#REF!),"")</f>
        <v>#REF!</v>
      </c>
      <c r="AL45" s="49" t="e">
        <f>IF(AND(#REF!="Baja",#REF!="Catastrófico"),CONCATENATE("R10C",#REF!),"")</f>
        <v>#REF!</v>
      </c>
      <c r="AM45" s="50" t="e">
        <f>IF(AND(#REF!="Baja",#REF!="Catastrófico"),CONCATENATE("R10C",#REF!),"")</f>
        <v>#REF!</v>
      </c>
      <c r="AN45" s="70"/>
      <c r="AO45" s="721"/>
      <c r="AP45" s="722"/>
      <c r="AQ45" s="722"/>
      <c r="AR45" s="722"/>
      <c r="AS45" s="722"/>
      <c r="AT45" s="723"/>
    </row>
    <row r="46" spans="1:80" ht="46.5" customHeight="1" x14ac:dyDescent="0.35">
      <c r="A46" s="70"/>
      <c r="B46" s="646"/>
      <c r="C46" s="646"/>
      <c r="D46" s="647"/>
      <c r="E46" s="684" t="s">
        <v>97</v>
      </c>
      <c r="F46" s="685"/>
      <c r="G46" s="685"/>
      <c r="H46" s="685"/>
      <c r="I46" s="686"/>
      <c r="J46" s="60" t="e">
        <f>IF(AND(#REF!="Muy Baja",#REF!="Leve"),CONCATENATE("R1C",#REF!),"")</f>
        <v>#REF!</v>
      </c>
      <c r="K46" s="61" t="e">
        <f>IF(AND(#REF!="Muy Baja",#REF!="Leve"),CONCATENATE("R1C",#REF!),"")</f>
        <v>#REF!</v>
      </c>
      <c r="L46" s="61" t="e">
        <f>IF(AND(#REF!="Muy Baja",#REF!="Leve"),CONCATENATE("R1C",#REF!),"")</f>
        <v>#REF!</v>
      </c>
      <c r="M46" s="61" t="e">
        <f>IF(AND(#REF!="Muy Baja",#REF!="Leve"),CONCATENATE("R1C",#REF!),"")</f>
        <v>#REF!</v>
      </c>
      <c r="N46" s="61" t="e">
        <f>IF(AND(#REF!="Muy Baja",#REF!="Leve"),CONCATENATE("R1C",#REF!),"")</f>
        <v>#REF!</v>
      </c>
      <c r="O46" s="62" t="e">
        <f>IF(AND(#REF!="Muy Baja",#REF!="Leve"),CONCATENATE("R1C",#REF!),"")</f>
        <v>#REF!</v>
      </c>
      <c r="P46" s="60" t="e">
        <f>IF(AND(#REF!="Muy Baja",#REF!="Menor"),CONCATENATE("R1C",#REF!),"")</f>
        <v>#REF!</v>
      </c>
      <c r="Q46" s="61" t="e">
        <f>IF(AND(#REF!="Muy Baja",#REF!="Menor"),CONCATENATE("R1C",#REF!),"")</f>
        <v>#REF!</v>
      </c>
      <c r="R46" s="61" t="e">
        <f>IF(AND(#REF!="Muy Baja",#REF!="Menor"),CONCATENATE("R1C",#REF!),"")</f>
        <v>#REF!</v>
      </c>
      <c r="S46" s="61" t="e">
        <f>IF(AND(#REF!="Muy Baja",#REF!="Menor"),CONCATENATE("R1C",#REF!),"")</f>
        <v>#REF!</v>
      </c>
      <c r="T46" s="61" t="e">
        <f>IF(AND(#REF!="Muy Baja",#REF!="Menor"),CONCATENATE("R1C",#REF!),"")</f>
        <v>#REF!</v>
      </c>
      <c r="U46" s="62" t="e">
        <f>IF(AND(#REF!="Muy Baja",#REF!="Menor"),CONCATENATE("R1C",#REF!),"")</f>
        <v>#REF!</v>
      </c>
      <c r="V46" s="51" t="e">
        <f>IF(AND(#REF!="Muy Baja",#REF!="Moderado"),CONCATENATE("R1C",#REF!),"")</f>
        <v>#REF!</v>
      </c>
      <c r="W46" s="69" t="e">
        <f>IF(AND(#REF!="Muy Baja",#REF!="Moderado"),CONCATENATE("R1C",#REF!),"")</f>
        <v>#REF!</v>
      </c>
      <c r="X46" s="52" t="e">
        <f>IF(AND(#REF!="Muy Baja",#REF!="Moderado"),CONCATENATE("R1C",#REF!),"")</f>
        <v>#REF!</v>
      </c>
      <c r="Y46" s="52" t="e">
        <f>IF(AND(#REF!="Muy Baja",#REF!="Moderado"),CONCATENATE("R1C",#REF!),"")</f>
        <v>#REF!</v>
      </c>
      <c r="Z46" s="52" t="e">
        <f>IF(AND(#REF!="Muy Baja",#REF!="Moderado"),CONCATENATE("R1C",#REF!),"")</f>
        <v>#REF!</v>
      </c>
      <c r="AA46" s="53" t="e">
        <f>IF(AND(#REF!="Muy Baja",#REF!="Moderado"),CONCATENATE("R1C",#REF!),"")</f>
        <v>#REF!</v>
      </c>
      <c r="AB46" s="33" t="e">
        <f>IF(AND(#REF!="Muy Baja",#REF!="Mayor"),CONCATENATE("R1C",#REF!),"")</f>
        <v>#REF!</v>
      </c>
      <c r="AC46" s="34" t="e">
        <f>IF(AND(#REF!="Muy Baja",#REF!="Mayor"),CONCATENATE("R1C",#REF!),"")</f>
        <v>#REF!</v>
      </c>
      <c r="AD46" s="34" t="e">
        <f>IF(AND(#REF!="Muy Baja",#REF!="Mayor"),CONCATENATE("R1C",#REF!),"")</f>
        <v>#REF!</v>
      </c>
      <c r="AE46" s="34" t="e">
        <f>IF(AND(#REF!="Muy Baja",#REF!="Mayor"),CONCATENATE("R1C",#REF!),"")</f>
        <v>#REF!</v>
      </c>
      <c r="AF46" s="34" t="e">
        <f>IF(AND(#REF!="Muy Baja",#REF!="Mayor"),CONCATENATE("R1C",#REF!),"")</f>
        <v>#REF!</v>
      </c>
      <c r="AG46" s="35" t="e">
        <f>IF(AND(#REF!="Muy Baja",#REF!="Mayor"),CONCATENATE("R1C",#REF!),"")</f>
        <v>#REF!</v>
      </c>
      <c r="AH46" s="36" t="e">
        <f>IF(AND(#REF!="Muy Baja",#REF!="Catastrófico"),CONCATENATE("R1C",#REF!),"")</f>
        <v>#REF!</v>
      </c>
      <c r="AI46" s="37" t="e">
        <f>IF(AND(#REF!="Muy Baja",#REF!="Catastrófico"),CONCATENATE("R1C",#REF!),"")</f>
        <v>#REF!</v>
      </c>
      <c r="AJ46" s="37" t="e">
        <f>IF(AND(#REF!="Muy Baja",#REF!="Catastrófico"),CONCATENATE("R1C",#REF!),"")</f>
        <v>#REF!</v>
      </c>
      <c r="AK46" s="37" t="e">
        <f>IF(AND(#REF!="Muy Baja",#REF!="Catastrófico"),CONCATENATE("R1C",#REF!),"")</f>
        <v>#REF!</v>
      </c>
      <c r="AL46" s="37" t="e">
        <f>IF(AND(#REF!="Muy Baja",#REF!="Catastrófico"),CONCATENATE("R1C",#REF!),"")</f>
        <v>#REF!</v>
      </c>
      <c r="AM46" s="38" t="e">
        <f>IF(AND(#REF!="Muy Baja",#REF!="Catastrófico"),CONCATENATE("R1C",#REF!),"")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646"/>
      <c r="C47" s="646"/>
      <c r="D47" s="647"/>
      <c r="E47" s="703"/>
      <c r="F47" s="688"/>
      <c r="G47" s="688"/>
      <c r="H47" s="688"/>
      <c r="I47" s="689"/>
      <c r="J47" s="63" t="e">
        <f>IF(AND(#REF!="Muy Baja",#REF!="Leve"),CONCATENATE("R2C",#REF!),"")</f>
        <v>#REF!</v>
      </c>
      <c r="K47" s="64" t="e">
        <f>IF(AND(#REF!="Muy Baja",#REF!="Leve"),CONCATENATE("R2C",#REF!),"")</f>
        <v>#REF!</v>
      </c>
      <c r="L47" s="64" t="e">
        <f>IF(AND(#REF!="Muy Baja",#REF!="Leve"),CONCATENATE("R2C",#REF!),"")</f>
        <v>#REF!</v>
      </c>
      <c r="M47" s="64" t="e">
        <f>IF(AND(#REF!="Muy Baja",#REF!="Leve"),CONCATENATE("R2C",#REF!),"")</f>
        <v>#REF!</v>
      </c>
      <c r="N47" s="64" t="e">
        <f>IF(AND(#REF!="Muy Baja",#REF!="Leve"),CONCATENATE("R2C",#REF!),"")</f>
        <v>#REF!</v>
      </c>
      <c r="O47" s="65" t="e">
        <f>IF(AND(#REF!="Muy Baja",#REF!="Leve"),CONCATENATE("R2C",#REF!),"")</f>
        <v>#REF!</v>
      </c>
      <c r="P47" s="63" t="e">
        <f>IF(AND(#REF!="Muy Baja",#REF!="Menor"),CONCATENATE("R2C",#REF!),"")</f>
        <v>#REF!</v>
      </c>
      <c r="Q47" s="64" t="e">
        <f>IF(AND(#REF!="Muy Baja",#REF!="Menor"),CONCATENATE("R2C",#REF!),"")</f>
        <v>#REF!</v>
      </c>
      <c r="R47" s="64" t="e">
        <f>IF(AND(#REF!="Muy Baja",#REF!="Menor"),CONCATENATE("R2C",#REF!),"")</f>
        <v>#REF!</v>
      </c>
      <c r="S47" s="64" t="e">
        <f>IF(AND(#REF!="Muy Baja",#REF!="Menor"),CONCATENATE("R2C",#REF!),"")</f>
        <v>#REF!</v>
      </c>
      <c r="T47" s="64" t="e">
        <f>IF(AND(#REF!="Muy Baja",#REF!="Menor"),CONCATENATE("R2C",#REF!),"")</f>
        <v>#REF!</v>
      </c>
      <c r="U47" s="65" t="e">
        <f>IF(AND(#REF!="Muy Baja",#REF!="Menor"),CONCATENATE("R2C",#REF!),"")</f>
        <v>#REF!</v>
      </c>
      <c r="V47" s="54" t="e">
        <f>IF(AND(#REF!="Muy Baja",#REF!="Moderado"),CONCATENATE("R2C",#REF!),"")</f>
        <v>#REF!</v>
      </c>
      <c r="W47" s="55" t="e">
        <f>IF(AND(#REF!="Muy Baja",#REF!="Moderado"),CONCATENATE("R2C",#REF!),"")</f>
        <v>#REF!</v>
      </c>
      <c r="X47" s="55" t="e">
        <f>IF(AND(#REF!="Muy Baja",#REF!="Moderado"),CONCATENATE("R2C",#REF!),"")</f>
        <v>#REF!</v>
      </c>
      <c r="Y47" s="55" t="e">
        <f>IF(AND(#REF!="Muy Baja",#REF!="Moderado"),CONCATENATE("R2C",#REF!),"")</f>
        <v>#REF!</v>
      </c>
      <c r="Z47" s="55" t="e">
        <f>IF(AND(#REF!="Muy Baja",#REF!="Moderado"),CONCATENATE("R2C",#REF!),"")</f>
        <v>#REF!</v>
      </c>
      <c r="AA47" s="56" t="e">
        <f>IF(AND(#REF!="Muy Baja",#REF!="Moderado"),CONCATENATE("R2C",#REF!),"")</f>
        <v>#REF!</v>
      </c>
      <c r="AB47" s="39" t="e">
        <f>IF(AND(#REF!="Muy Baja",#REF!="Mayor"),CONCATENATE("R2C",#REF!),"")</f>
        <v>#REF!</v>
      </c>
      <c r="AC47" s="40" t="e">
        <f>IF(AND(#REF!="Muy Baja",#REF!="Mayor"),CONCATENATE("R2C",#REF!),"")</f>
        <v>#REF!</v>
      </c>
      <c r="AD47" s="40" t="e">
        <f>IF(AND(#REF!="Muy Baja",#REF!="Mayor"),CONCATENATE("R2C",#REF!),"")</f>
        <v>#REF!</v>
      </c>
      <c r="AE47" s="40" t="e">
        <f>IF(AND(#REF!="Muy Baja",#REF!="Mayor"),CONCATENATE("R2C",#REF!),"")</f>
        <v>#REF!</v>
      </c>
      <c r="AF47" s="40" t="e">
        <f>IF(AND(#REF!="Muy Baja",#REF!="Mayor"),CONCATENATE("R2C",#REF!),"")</f>
        <v>#REF!</v>
      </c>
      <c r="AG47" s="41" t="e">
        <f>IF(AND(#REF!="Muy Baja",#REF!="Mayor"),CONCATENATE("R2C",#REF!),"")</f>
        <v>#REF!</v>
      </c>
      <c r="AH47" s="42" t="e">
        <f>IF(AND(#REF!="Muy Baja",#REF!="Catastrófico"),CONCATENATE("R2C",#REF!),"")</f>
        <v>#REF!</v>
      </c>
      <c r="AI47" s="43" t="e">
        <f>IF(AND(#REF!="Muy Baja",#REF!="Catastrófico"),CONCATENATE("R2C",#REF!),"")</f>
        <v>#REF!</v>
      </c>
      <c r="AJ47" s="43" t="e">
        <f>IF(AND(#REF!="Muy Baja",#REF!="Catastrófico"),CONCATENATE("R2C",#REF!),"")</f>
        <v>#REF!</v>
      </c>
      <c r="AK47" s="43" t="e">
        <f>IF(AND(#REF!="Muy Baja",#REF!="Catastrófico"),CONCATENATE("R2C",#REF!),"")</f>
        <v>#REF!</v>
      </c>
      <c r="AL47" s="43" t="e">
        <f>IF(AND(#REF!="Muy Baja",#REF!="Catastrófico"),CONCATENATE("R2C",#REF!),"")</f>
        <v>#REF!</v>
      </c>
      <c r="AM47" s="44" t="e">
        <f>IF(AND(#REF!="Muy Baja",#REF!="Catastrófico"),CONCATENATE("R2C",#REF!),"")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646"/>
      <c r="C48" s="646"/>
      <c r="D48" s="647"/>
      <c r="E48" s="703"/>
      <c r="F48" s="688"/>
      <c r="G48" s="688"/>
      <c r="H48" s="688"/>
      <c r="I48" s="689"/>
      <c r="J48" s="63" t="e">
        <f>IF(AND(#REF!="Muy Baja",#REF!="Leve"),CONCATENATE("R3C",#REF!),"")</f>
        <v>#REF!</v>
      </c>
      <c r="K48" s="64" t="e">
        <f>IF(AND(#REF!="Muy Baja",#REF!="Leve"),CONCATENATE("R3C",#REF!),"")</f>
        <v>#REF!</v>
      </c>
      <c r="L48" s="64" t="e">
        <f>IF(AND(#REF!="Muy Baja",#REF!="Leve"),CONCATENATE("R3C",#REF!),"")</f>
        <v>#REF!</v>
      </c>
      <c r="M48" s="64" t="e">
        <f>IF(AND(#REF!="Muy Baja",#REF!="Leve"),CONCATENATE("R3C",#REF!),"")</f>
        <v>#REF!</v>
      </c>
      <c r="N48" s="64" t="e">
        <f>IF(AND(#REF!="Muy Baja",#REF!="Leve"),CONCATENATE("R3C",#REF!),"")</f>
        <v>#REF!</v>
      </c>
      <c r="O48" s="65" t="e">
        <f>IF(AND(#REF!="Muy Baja",#REF!="Leve"),CONCATENATE("R3C",#REF!),"")</f>
        <v>#REF!</v>
      </c>
      <c r="P48" s="63" t="e">
        <f>IF(AND(#REF!="Muy Baja",#REF!="Menor"),CONCATENATE("R3C",#REF!),"")</f>
        <v>#REF!</v>
      </c>
      <c r="Q48" s="64" t="e">
        <f>IF(AND(#REF!="Muy Baja",#REF!="Menor"),CONCATENATE("R3C",#REF!),"")</f>
        <v>#REF!</v>
      </c>
      <c r="R48" s="64" t="e">
        <f>IF(AND(#REF!="Muy Baja",#REF!="Menor"),CONCATENATE("R3C",#REF!),"")</f>
        <v>#REF!</v>
      </c>
      <c r="S48" s="64" t="e">
        <f>IF(AND(#REF!="Muy Baja",#REF!="Menor"),CONCATENATE("R3C",#REF!),"")</f>
        <v>#REF!</v>
      </c>
      <c r="T48" s="64" t="e">
        <f>IF(AND(#REF!="Muy Baja",#REF!="Menor"),CONCATENATE("R3C",#REF!),"")</f>
        <v>#REF!</v>
      </c>
      <c r="U48" s="65" t="e">
        <f>IF(AND(#REF!="Muy Baja",#REF!="Menor"),CONCATENATE("R3C",#REF!),"")</f>
        <v>#REF!</v>
      </c>
      <c r="V48" s="54" t="e">
        <f>IF(AND(#REF!="Muy Baja",#REF!="Moderado"),CONCATENATE("R3C",#REF!),"")</f>
        <v>#REF!</v>
      </c>
      <c r="W48" s="55" t="e">
        <f>IF(AND(#REF!="Muy Baja",#REF!="Moderado"),CONCATENATE("R3C",#REF!),"")</f>
        <v>#REF!</v>
      </c>
      <c r="X48" s="55" t="e">
        <f>IF(AND(#REF!="Muy Baja",#REF!="Moderado"),CONCATENATE("R3C",#REF!),"")</f>
        <v>#REF!</v>
      </c>
      <c r="Y48" s="55" t="e">
        <f>IF(AND(#REF!="Muy Baja",#REF!="Moderado"),CONCATENATE("R3C",#REF!),"")</f>
        <v>#REF!</v>
      </c>
      <c r="Z48" s="55" t="e">
        <f>IF(AND(#REF!="Muy Baja",#REF!="Moderado"),CONCATENATE("R3C",#REF!),"")</f>
        <v>#REF!</v>
      </c>
      <c r="AA48" s="56" t="e">
        <f>IF(AND(#REF!="Muy Baja",#REF!="Moderado"),CONCATENATE("R3C",#REF!),"")</f>
        <v>#REF!</v>
      </c>
      <c r="AB48" s="39" t="e">
        <f>IF(AND(#REF!="Muy Baja",#REF!="Mayor"),CONCATENATE("R3C",#REF!),"")</f>
        <v>#REF!</v>
      </c>
      <c r="AC48" s="40" t="e">
        <f>IF(AND(#REF!="Muy Baja",#REF!="Mayor"),CONCATENATE("R3C",#REF!),"")</f>
        <v>#REF!</v>
      </c>
      <c r="AD48" s="40" t="e">
        <f>IF(AND(#REF!="Muy Baja",#REF!="Mayor"),CONCATENATE("R3C",#REF!),"")</f>
        <v>#REF!</v>
      </c>
      <c r="AE48" s="40" t="e">
        <f>IF(AND(#REF!="Muy Baja",#REF!="Mayor"),CONCATENATE("R3C",#REF!),"")</f>
        <v>#REF!</v>
      </c>
      <c r="AF48" s="40" t="e">
        <f>IF(AND(#REF!="Muy Baja",#REF!="Mayor"),CONCATENATE("R3C",#REF!),"")</f>
        <v>#REF!</v>
      </c>
      <c r="AG48" s="41" t="e">
        <f>IF(AND(#REF!="Muy Baja",#REF!="Mayor"),CONCATENATE("R3C",#REF!),"")</f>
        <v>#REF!</v>
      </c>
      <c r="AH48" s="42" t="e">
        <f>IF(AND(#REF!="Muy Baja",#REF!="Catastrófico"),CONCATENATE("R3C",#REF!),"")</f>
        <v>#REF!</v>
      </c>
      <c r="AI48" s="43" t="e">
        <f>IF(AND(#REF!="Muy Baja",#REF!="Catastrófico"),CONCATENATE("R3C",#REF!),"")</f>
        <v>#REF!</v>
      </c>
      <c r="AJ48" s="43" t="e">
        <f>IF(AND(#REF!="Muy Baja",#REF!="Catastrófico"),CONCATENATE("R3C",#REF!),"")</f>
        <v>#REF!</v>
      </c>
      <c r="AK48" s="43" t="e">
        <f>IF(AND(#REF!="Muy Baja",#REF!="Catastrófico"),CONCATENATE("R3C",#REF!),"")</f>
        <v>#REF!</v>
      </c>
      <c r="AL48" s="43" t="e">
        <f>IF(AND(#REF!="Muy Baja",#REF!="Catastrófico"),CONCATENATE("R3C",#REF!),"")</f>
        <v>#REF!</v>
      </c>
      <c r="AM48" s="44" t="e">
        <f>IF(AND(#REF!="Muy Baja",#REF!="Catastrófico"),CONCATENATE("R3C",#REF!),"")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646"/>
      <c r="C49" s="646"/>
      <c r="D49" s="647"/>
      <c r="E49" s="687"/>
      <c r="F49" s="688"/>
      <c r="G49" s="688"/>
      <c r="H49" s="688"/>
      <c r="I49" s="689"/>
      <c r="J49" s="63" t="e">
        <f>IF(AND(#REF!="Muy Baja",#REF!="Leve"),CONCATENATE("R4C",#REF!),"")</f>
        <v>#REF!</v>
      </c>
      <c r="K49" s="64" t="e">
        <f>IF(AND(#REF!="Muy Baja",#REF!="Leve"),CONCATENATE("R4C",#REF!),"")</f>
        <v>#REF!</v>
      </c>
      <c r="L49" s="64" t="e">
        <f>IF(AND(#REF!="Muy Baja",#REF!="Leve"),CONCATENATE("R4C",#REF!),"")</f>
        <v>#REF!</v>
      </c>
      <c r="M49" s="64" t="e">
        <f>IF(AND(#REF!="Muy Baja",#REF!="Leve"),CONCATENATE("R4C",#REF!),"")</f>
        <v>#REF!</v>
      </c>
      <c r="N49" s="64" t="e">
        <f>IF(AND(#REF!="Muy Baja",#REF!="Leve"),CONCATENATE("R4C",#REF!),"")</f>
        <v>#REF!</v>
      </c>
      <c r="O49" s="65" t="e">
        <f>IF(AND(#REF!="Muy Baja",#REF!="Leve"),CONCATENATE("R4C",#REF!),"")</f>
        <v>#REF!</v>
      </c>
      <c r="P49" s="63" t="e">
        <f>IF(AND(#REF!="Muy Baja",#REF!="Menor"),CONCATENATE("R4C",#REF!),"")</f>
        <v>#REF!</v>
      </c>
      <c r="Q49" s="64" t="e">
        <f>IF(AND(#REF!="Muy Baja",#REF!="Menor"),CONCATENATE("R4C",#REF!),"")</f>
        <v>#REF!</v>
      </c>
      <c r="R49" s="64" t="e">
        <f>IF(AND(#REF!="Muy Baja",#REF!="Menor"),CONCATENATE("R4C",#REF!),"")</f>
        <v>#REF!</v>
      </c>
      <c r="S49" s="64" t="e">
        <f>IF(AND(#REF!="Muy Baja",#REF!="Menor"),CONCATENATE("R4C",#REF!),"")</f>
        <v>#REF!</v>
      </c>
      <c r="T49" s="64" t="e">
        <f>IF(AND(#REF!="Muy Baja",#REF!="Menor"),CONCATENATE("R4C",#REF!),"")</f>
        <v>#REF!</v>
      </c>
      <c r="U49" s="65" t="e">
        <f>IF(AND(#REF!="Muy Baja",#REF!="Menor"),CONCATENATE("R4C",#REF!),"")</f>
        <v>#REF!</v>
      </c>
      <c r="V49" s="54" t="e">
        <f>IF(AND(#REF!="Muy Baja",#REF!="Moderado"),CONCATENATE("R4C",#REF!),"")</f>
        <v>#REF!</v>
      </c>
      <c r="W49" s="55" t="e">
        <f>IF(AND(#REF!="Muy Baja",#REF!="Moderado"),CONCATENATE("R4C",#REF!),"")</f>
        <v>#REF!</v>
      </c>
      <c r="X49" s="55" t="e">
        <f>IF(AND(#REF!="Muy Baja",#REF!="Moderado"),CONCATENATE("R4C",#REF!),"")</f>
        <v>#REF!</v>
      </c>
      <c r="Y49" s="55" t="e">
        <f>IF(AND(#REF!="Muy Baja",#REF!="Moderado"),CONCATENATE("R4C",#REF!),"")</f>
        <v>#REF!</v>
      </c>
      <c r="Z49" s="55" t="e">
        <f>IF(AND(#REF!="Muy Baja",#REF!="Moderado"),CONCATENATE("R4C",#REF!),"")</f>
        <v>#REF!</v>
      </c>
      <c r="AA49" s="56" t="e">
        <f>IF(AND(#REF!="Muy Baja",#REF!="Moderado"),CONCATENATE("R4C",#REF!),"")</f>
        <v>#REF!</v>
      </c>
      <c r="AB49" s="39" t="e">
        <f>IF(AND(#REF!="Muy Baja",#REF!="Mayor"),CONCATENATE("R4C",#REF!),"")</f>
        <v>#REF!</v>
      </c>
      <c r="AC49" s="40" t="e">
        <f>IF(AND(#REF!="Muy Baja",#REF!="Mayor"),CONCATENATE("R4C",#REF!),"")</f>
        <v>#REF!</v>
      </c>
      <c r="AD49" s="40" t="e">
        <f>IF(AND(#REF!="Muy Baja",#REF!="Mayor"),CONCATENATE("R4C",#REF!),"")</f>
        <v>#REF!</v>
      </c>
      <c r="AE49" s="40" t="e">
        <f>IF(AND(#REF!="Muy Baja",#REF!="Mayor"),CONCATENATE("R4C",#REF!),"")</f>
        <v>#REF!</v>
      </c>
      <c r="AF49" s="40" t="e">
        <f>IF(AND(#REF!="Muy Baja",#REF!="Mayor"),CONCATENATE("R4C",#REF!),"")</f>
        <v>#REF!</v>
      </c>
      <c r="AG49" s="41" t="e">
        <f>IF(AND(#REF!="Muy Baja",#REF!="Mayor"),CONCATENATE("R4C",#REF!),"")</f>
        <v>#REF!</v>
      </c>
      <c r="AH49" s="42" t="e">
        <f>IF(AND(#REF!="Muy Baja",#REF!="Catastrófico"),CONCATENATE("R4C",#REF!),"")</f>
        <v>#REF!</v>
      </c>
      <c r="AI49" s="43" t="e">
        <f>IF(AND(#REF!="Muy Baja",#REF!="Catastrófico"),CONCATENATE("R4C",#REF!),"")</f>
        <v>#REF!</v>
      </c>
      <c r="AJ49" s="43" t="e">
        <f>IF(AND(#REF!="Muy Baja",#REF!="Catastrófico"),CONCATENATE("R4C",#REF!),"")</f>
        <v>#REF!</v>
      </c>
      <c r="AK49" s="43" t="e">
        <f>IF(AND(#REF!="Muy Baja",#REF!="Catastrófico"),CONCATENATE("R4C",#REF!),"")</f>
        <v>#REF!</v>
      </c>
      <c r="AL49" s="43" t="e">
        <f>IF(AND(#REF!="Muy Baja",#REF!="Catastrófico"),CONCATENATE("R4C",#REF!),"")</f>
        <v>#REF!</v>
      </c>
      <c r="AM49" s="44" t="e">
        <f>IF(AND(#REF!="Muy Baja",#REF!="Catastrófico"),CONCATENATE("R4C",#REF!),"")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646"/>
      <c r="C50" s="646"/>
      <c r="D50" s="647"/>
      <c r="E50" s="687"/>
      <c r="F50" s="688"/>
      <c r="G50" s="688"/>
      <c r="H50" s="688"/>
      <c r="I50" s="689"/>
      <c r="J50" s="63" t="e">
        <f>IF(AND(#REF!="Muy Baja",#REF!="Leve"),CONCATENATE("R5C",#REF!),"")</f>
        <v>#REF!</v>
      </c>
      <c r="K50" s="64" t="e">
        <f>IF(AND(#REF!="Muy Baja",#REF!="Leve"),CONCATENATE("R5C",#REF!),"")</f>
        <v>#REF!</v>
      </c>
      <c r="L50" s="64" t="e">
        <f>IF(AND(#REF!="Muy Baja",#REF!="Leve"),CONCATENATE("R5C",#REF!),"")</f>
        <v>#REF!</v>
      </c>
      <c r="M50" s="64" t="e">
        <f>IF(AND(#REF!="Muy Baja",#REF!="Leve"),CONCATENATE("R5C",#REF!),"")</f>
        <v>#REF!</v>
      </c>
      <c r="N50" s="64" t="e">
        <f>IF(AND(#REF!="Muy Baja",#REF!="Leve"),CONCATENATE("R5C",#REF!),"")</f>
        <v>#REF!</v>
      </c>
      <c r="O50" s="65" t="e">
        <f>IF(AND(#REF!="Muy Baja",#REF!="Leve"),CONCATENATE("R5C",#REF!),"")</f>
        <v>#REF!</v>
      </c>
      <c r="P50" s="63" t="e">
        <f>IF(AND(#REF!="Muy Baja",#REF!="Menor"),CONCATENATE("R5C",#REF!),"")</f>
        <v>#REF!</v>
      </c>
      <c r="Q50" s="64" t="e">
        <f>IF(AND(#REF!="Muy Baja",#REF!="Menor"),CONCATENATE("R5C",#REF!),"")</f>
        <v>#REF!</v>
      </c>
      <c r="R50" s="64" t="e">
        <f>IF(AND(#REF!="Muy Baja",#REF!="Menor"),CONCATENATE("R5C",#REF!),"")</f>
        <v>#REF!</v>
      </c>
      <c r="S50" s="64" t="e">
        <f>IF(AND(#REF!="Muy Baja",#REF!="Menor"),CONCATENATE("R5C",#REF!),"")</f>
        <v>#REF!</v>
      </c>
      <c r="T50" s="64" t="e">
        <f>IF(AND(#REF!="Muy Baja",#REF!="Menor"),CONCATENATE("R5C",#REF!),"")</f>
        <v>#REF!</v>
      </c>
      <c r="U50" s="65" t="e">
        <f>IF(AND(#REF!="Muy Baja",#REF!="Menor"),CONCATENATE("R5C",#REF!),"")</f>
        <v>#REF!</v>
      </c>
      <c r="V50" s="54" t="e">
        <f>IF(AND(#REF!="Muy Baja",#REF!="Moderado"),CONCATENATE("R5C",#REF!),"")</f>
        <v>#REF!</v>
      </c>
      <c r="W50" s="55" t="e">
        <f>IF(AND(#REF!="Muy Baja",#REF!="Moderado"),CONCATENATE("R5C",#REF!),"")</f>
        <v>#REF!</v>
      </c>
      <c r="X50" s="55" t="e">
        <f>IF(AND(#REF!="Muy Baja",#REF!="Moderado"),CONCATENATE("R5C",#REF!),"")</f>
        <v>#REF!</v>
      </c>
      <c r="Y50" s="55" t="e">
        <f>IF(AND(#REF!="Muy Baja",#REF!="Moderado"),CONCATENATE("R5C",#REF!),"")</f>
        <v>#REF!</v>
      </c>
      <c r="Z50" s="55" t="e">
        <f>IF(AND(#REF!="Muy Baja",#REF!="Moderado"),CONCATENATE("R5C",#REF!),"")</f>
        <v>#REF!</v>
      </c>
      <c r="AA50" s="56" t="e">
        <f>IF(AND(#REF!="Muy Baja",#REF!="Moderado"),CONCATENATE("R5C",#REF!),"")</f>
        <v>#REF!</v>
      </c>
      <c r="AB50" s="39" t="e">
        <f>IF(AND(#REF!="Muy Baja",#REF!="Mayor"),CONCATENATE("R5C",#REF!),"")</f>
        <v>#REF!</v>
      </c>
      <c r="AC50" s="40" t="e">
        <f>IF(AND(#REF!="Muy Baja",#REF!="Mayor"),CONCATENATE("R5C",#REF!),"")</f>
        <v>#REF!</v>
      </c>
      <c r="AD50" s="40" t="e">
        <f>IF(AND(#REF!="Muy Baja",#REF!="Mayor"),CONCATENATE("R5C",#REF!),"")</f>
        <v>#REF!</v>
      </c>
      <c r="AE50" s="40" t="e">
        <f>IF(AND(#REF!="Muy Baja",#REF!="Mayor"),CONCATENATE("R5C",#REF!),"")</f>
        <v>#REF!</v>
      </c>
      <c r="AF50" s="40" t="e">
        <f>IF(AND(#REF!="Muy Baja",#REF!="Mayor"),CONCATENATE("R5C",#REF!),"")</f>
        <v>#REF!</v>
      </c>
      <c r="AG50" s="41" t="e">
        <f>IF(AND(#REF!="Muy Baja",#REF!="Mayor"),CONCATENATE("R5C",#REF!),"")</f>
        <v>#REF!</v>
      </c>
      <c r="AH50" s="42" t="e">
        <f>IF(AND(#REF!="Muy Baja",#REF!="Catastrófico"),CONCATENATE("R5C",#REF!),"")</f>
        <v>#REF!</v>
      </c>
      <c r="AI50" s="43" t="e">
        <f>IF(AND(#REF!="Muy Baja",#REF!="Catastrófico"),CONCATENATE("R5C",#REF!),"")</f>
        <v>#REF!</v>
      </c>
      <c r="AJ50" s="43" t="e">
        <f>IF(AND(#REF!="Muy Baja",#REF!="Catastrófico"),CONCATENATE("R5C",#REF!),"")</f>
        <v>#REF!</v>
      </c>
      <c r="AK50" s="43" t="e">
        <f>IF(AND(#REF!="Muy Baja",#REF!="Catastrófico"),CONCATENATE("R5C",#REF!),"")</f>
        <v>#REF!</v>
      </c>
      <c r="AL50" s="43" t="e">
        <f>IF(AND(#REF!="Muy Baja",#REF!="Catastrófico"),CONCATENATE("R5C",#REF!),"")</f>
        <v>#REF!</v>
      </c>
      <c r="AM50" s="44" t="e">
        <f>IF(AND(#REF!="Muy Baja",#REF!="Catastrófico"),CONCATENATE("R5C",#REF!),"")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646"/>
      <c r="C51" s="646"/>
      <c r="D51" s="647"/>
      <c r="E51" s="687"/>
      <c r="F51" s="688"/>
      <c r="G51" s="688"/>
      <c r="H51" s="688"/>
      <c r="I51" s="689"/>
      <c r="J51" s="63" t="e">
        <f>IF(AND(#REF!="Muy Baja",#REF!="Leve"),CONCATENATE("R6C",#REF!),"")</f>
        <v>#REF!</v>
      </c>
      <c r="K51" s="64" t="e">
        <f>IF(AND(#REF!="Muy Baja",#REF!="Leve"),CONCATENATE("R6C",#REF!),"")</f>
        <v>#REF!</v>
      </c>
      <c r="L51" s="64" t="e">
        <f>IF(AND(#REF!="Muy Baja",#REF!="Leve"),CONCATENATE("R6C",#REF!),"")</f>
        <v>#REF!</v>
      </c>
      <c r="M51" s="64" t="e">
        <f>IF(AND(#REF!="Muy Baja",#REF!="Leve"),CONCATENATE("R6C",#REF!),"")</f>
        <v>#REF!</v>
      </c>
      <c r="N51" s="64" t="e">
        <f>IF(AND(#REF!="Muy Baja",#REF!="Leve"),CONCATENATE("R6C",#REF!),"")</f>
        <v>#REF!</v>
      </c>
      <c r="O51" s="65" t="e">
        <f>IF(AND(#REF!="Muy Baja",#REF!="Leve"),CONCATENATE("R6C",#REF!),"")</f>
        <v>#REF!</v>
      </c>
      <c r="P51" s="63" t="e">
        <f>IF(AND(#REF!="Muy Baja",#REF!="Menor"),CONCATENATE("R6C",#REF!),"")</f>
        <v>#REF!</v>
      </c>
      <c r="Q51" s="64" t="e">
        <f>IF(AND(#REF!="Muy Baja",#REF!="Menor"),CONCATENATE("R6C",#REF!),"")</f>
        <v>#REF!</v>
      </c>
      <c r="R51" s="64" t="e">
        <f>IF(AND(#REF!="Muy Baja",#REF!="Menor"),CONCATENATE("R6C",#REF!),"")</f>
        <v>#REF!</v>
      </c>
      <c r="S51" s="64" t="e">
        <f>IF(AND(#REF!="Muy Baja",#REF!="Menor"),CONCATENATE("R6C",#REF!),"")</f>
        <v>#REF!</v>
      </c>
      <c r="T51" s="64" t="e">
        <f>IF(AND(#REF!="Muy Baja",#REF!="Menor"),CONCATENATE("R6C",#REF!),"")</f>
        <v>#REF!</v>
      </c>
      <c r="U51" s="65" t="e">
        <f>IF(AND(#REF!="Muy Baja",#REF!="Menor"),CONCATENATE("R6C",#REF!),"")</f>
        <v>#REF!</v>
      </c>
      <c r="V51" s="54" t="e">
        <f>IF(AND(#REF!="Muy Baja",#REF!="Moderado"),CONCATENATE("R6C",#REF!),"")</f>
        <v>#REF!</v>
      </c>
      <c r="W51" s="55" t="e">
        <f>IF(AND(#REF!="Muy Baja",#REF!="Moderado"),CONCATENATE("R6C",#REF!),"")</f>
        <v>#REF!</v>
      </c>
      <c r="X51" s="55" t="e">
        <f>IF(AND(#REF!="Muy Baja",#REF!="Moderado"),CONCATENATE("R6C",#REF!),"")</f>
        <v>#REF!</v>
      </c>
      <c r="Y51" s="55" t="e">
        <f>IF(AND(#REF!="Muy Baja",#REF!="Moderado"),CONCATENATE("R6C",#REF!),"")</f>
        <v>#REF!</v>
      </c>
      <c r="Z51" s="55" t="e">
        <f>IF(AND(#REF!="Muy Baja",#REF!="Moderado"),CONCATENATE("R6C",#REF!),"")</f>
        <v>#REF!</v>
      </c>
      <c r="AA51" s="56" t="e">
        <f>IF(AND(#REF!="Muy Baja",#REF!="Moderado"),CONCATENATE("R6C",#REF!),"")</f>
        <v>#REF!</v>
      </c>
      <c r="AB51" s="39" t="e">
        <f>IF(AND(#REF!="Muy Baja",#REF!="Mayor"),CONCATENATE("R6C",#REF!),"")</f>
        <v>#REF!</v>
      </c>
      <c r="AC51" s="40" t="e">
        <f>IF(AND(#REF!="Muy Baja",#REF!="Mayor"),CONCATENATE("R6C",#REF!),"")</f>
        <v>#REF!</v>
      </c>
      <c r="AD51" s="40" t="e">
        <f>IF(AND(#REF!="Muy Baja",#REF!="Mayor"),CONCATENATE("R6C",#REF!),"")</f>
        <v>#REF!</v>
      </c>
      <c r="AE51" s="40" t="e">
        <f>IF(AND(#REF!="Muy Baja",#REF!="Mayor"),CONCATENATE("R6C",#REF!),"")</f>
        <v>#REF!</v>
      </c>
      <c r="AF51" s="40" t="e">
        <f>IF(AND(#REF!="Muy Baja",#REF!="Mayor"),CONCATENATE("R6C",#REF!),"")</f>
        <v>#REF!</v>
      </c>
      <c r="AG51" s="41" t="e">
        <f>IF(AND(#REF!="Muy Baja",#REF!="Mayor"),CONCATENATE("R6C",#REF!),"")</f>
        <v>#REF!</v>
      </c>
      <c r="AH51" s="42" t="e">
        <f>IF(AND(#REF!="Muy Baja",#REF!="Catastrófico"),CONCATENATE("R6C",#REF!),"")</f>
        <v>#REF!</v>
      </c>
      <c r="AI51" s="43" t="e">
        <f>IF(AND(#REF!="Muy Baja",#REF!="Catastrófico"),CONCATENATE("R6C",#REF!),"")</f>
        <v>#REF!</v>
      </c>
      <c r="AJ51" s="43" t="e">
        <f>IF(AND(#REF!="Muy Baja",#REF!="Catastrófico"),CONCATENATE("R6C",#REF!),"")</f>
        <v>#REF!</v>
      </c>
      <c r="AK51" s="43" t="e">
        <f>IF(AND(#REF!="Muy Baja",#REF!="Catastrófico"),CONCATENATE("R6C",#REF!),"")</f>
        <v>#REF!</v>
      </c>
      <c r="AL51" s="43" t="e">
        <f>IF(AND(#REF!="Muy Baja",#REF!="Catastrófico"),CONCATENATE("R6C",#REF!),"")</f>
        <v>#REF!</v>
      </c>
      <c r="AM51" s="44" t="e">
        <f>IF(AND(#REF!="Muy Baja",#REF!="Catastrófico"),CONCATENATE("R6C",#REF!),"")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646"/>
      <c r="C52" s="646"/>
      <c r="D52" s="647"/>
      <c r="E52" s="687"/>
      <c r="F52" s="688"/>
      <c r="G52" s="688"/>
      <c r="H52" s="688"/>
      <c r="I52" s="689"/>
      <c r="J52" s="63" t="e">
        <f>IF(AND(#REF!="Muy Baja",#REF!="Leve"),CONCATENATE("R7C",#REF!),"")</f>
        <v>#REF!</v>
      </c>
      <c r="K52" s="64" t="e">
        <f>IF(AND(#REF!="Muy Baja",#REF!="Leve"),CONCATENATE("R7C",#REF!),"")</f>
        <v>#REF!</v>
      </c>
      <c r="L52" s="64" t="e">
        <f>IF(AND(#REF!="Muy Baja",#REF!="Leve"),CONCATENATE("R7C",#REF!),"")</f>
        <v>#REF!</v>
      </c>
      <c r="M52" s="64" t="e">
        <f>IF(AND(#REF!="Muy Baja",#REF!="Leve"),CONCATENATE("R7C",#REF!),"")</f>
        <v>#REF!</v>
      </c>
      <c r="N52" s="64" t="e">
        <f>IF(AND(#REF!="Muy Baja",#REF!="Leve"),CONCATENATE("R7C",#REF!),"")</f>
        <v>#REF!</v>
      </c>
      <c r="O52" s="65" t="e">
        <f>IF(AND(#REF!="Muy Baja",#REF!="Leve"),CONCATENATE("R7C",#REF!),"")</f>
        <v>#REF!</v>
      </c>
      <c r="P52" s="63" t="e">
        <f>IF(AND(#REF!="Muy Baja",#REF!="Menor"),CONCATENATE("R7C",#REF!),"")</f>
        <v>#REF!</v>
      </c>
      <c r="Q52" s="64" t="e">
        <f>IF(AND(#REF!="Muy Baja",#REF!="Menor"),CONCATENATE("R7C",#REF!),"")</f>
        <v>#REF!</v>
      </c>
      <c r="R52" s="64" t="e">
        <f>IF(AND(#REF!="Muy Baja",#REF!="Menor"),CONCATENATE("R7C",#REF!),"")</f>
        <v>#REF!</v>
      </c>
      <c r="S52" s="64" t="e">
        <f>IF(AND(#REF!="Muy Baja",#REF!="Menor"),CONCATENATE("R7C",#REF!),"")</f>
        <v>#REF!</v>
      </c>
      <c r="T52" s="64" t="e">
        <f>IF(AND(#REF!="Muy Baja",#REF!="Menor"),CONCATENATE("R7C",#REF!),"")</f>
        <v>#REF!</v>
      </c>
      <c r="U52" s="65" t="e">
        <f>IF(AND(#REF!="Muy Baja",#REF!="Menor"),CONCATENATE("R7C",#REF!),"")</f>
        <v>#REF!</v>
      </c>
      <c r="V52" s="54" t="e">
        <f>IF(AND(#REF!="Muy Baja",#REF!="Moderado"),CONCATENATE("R7C",#REF!),"")</f>
        <v>#REF!</v>
      </c>
      <c r="W52" s="55" t="e">
        <f>IF(AND(#REF!="Muy Baja",#REF!="Moderado"),CONCATENATE("R7C",#REF!),"")</f>
        <v>#REF!</v>
      </c>
      <c r="X52" s="55" t="e">
        <f>IF(AND(#REF!="Muy Baja",#REF!="Moderado"),CONCATENATE("R7C",#REF!),"")</f>
        <v>#REF!</v>
      </c>
      <c r="Y52" s="55" t="e">
        <f>IF(AND(#REF!="Muy Baja",#REF!="Moderado"),CONCATENATE("R7C",#REF!),"")</f>
        <v>#REF!</v>
      </c>
      <c r="Z52" s="55" t="e">
        <f>IF(AND(#REF!="Muy Baja",#REF!="Moderado"),CONCATENATE("R7C",#REF!),"")</f>
        <v>#REF!</v>
      </c>
      <c r="AA52" s="56" t="e">
        <f>IF(AND(#REF!="Muy Baja",#REF!="Moderado"),CONCATENATE("R7C",#REF!),"")</f>
        <v>#REF!</v>
      </c>
      <c r="AB52" s="39" t="e">
        <f>IF(AND(#REF!="Muy Baja",#REF!="Mayor"),CONCATENATE("R7C",#REF!),"")</f>
        <v>#REF!</v>
      </c>
      <c r="AC52" s="40" t="e">
        <f>IF(AND(#REF!="Muy Baja",#REF!="Mayor"),CONCATENATE("R7C",#REF!),"")</f>
        <v>#REF!</v>
      </c>
      <c r="AD52" s="40" t="e">
        <f>IF(AND(#REF!="Muy Baja",#REF!="Mayor"),CONCATENATE("R7C",#REF!),"")</f>
        <v>#REF!</v>
      </c>
      <c r="AE52" s="40" t="e">
        <f>IF(AND(#REF!="Muy Baja",#REF!="Mayor"),CONCATENATE("R7C",#REF!),"")</f>
        <v>#REF!</v>
      </c>
      <c r="AF52" s="40" t="e">
        <f>IF(AND(#REF!="Muy Baja",#REF!="Mayor"),CONCATENATE("R7C",#REF!),"")</f>
        <v>#REF!</v>
      </c>
      <c r="AG52" s="41" t="e">
        <f>IF(AND(#REF!="Muy Baja",#REF!="Mayor"),CONCATENATE("R7C",#REF!),"")</f>
        <v>#REF!</v>
      </c>
      <c r="AH52" s="42" t="e">
        <f>IF(AND(#REF!="Muy Baja",#REF!="Catastrófico"),CONCATENATE("R7C",#REF!),"")</f>
        <v>#REF!</v>
      </c>
      <c r="AI52" s="43" t="e">
        <f>IF(AND(#REF!="Muy Baja",#REF!="Catastrófico"),CONCATENATE("R7C",#REF!),"")</f>
        <v>#REF!</v>
      </c>
      <c r="AJ52" s="43" t="e">
        <f>IF(AND(#REF!="Muy Baja",#REF!="Catastrófico"),CONCATENATE("R7C",#REF!),"")</f>
        <v>#REF!</v>
      </c>
      <c r="AK52" s="43" t="e">
        <f>IF(AND(#REF!="Muy Baja",#REF!="Catastrófico"),CONCATENATE("R7C",#REF!),"")</f>
        <v>#REF!</v>
      </c>
      <c r="AL52" s="43" t="e">
        <f>IF(AND(#REF!="Muy Baja",#REF!="Catastrófico"),CONCATENATE("R7C",#REF!),"")</f>
        <v>#REF!</v>
      </c>
      <c r="AM52" s="44" t="e">
        <f>IF(AND(#REF!="Muy Baja",#REF!="Catastrófico"),CONCATENATE("R7C",#REF!),"")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646"/>
      <c r="C53" s="646"/>
      <c r="D53" s="647"/>
      <c r="E53" s="687"/>
      <c r="F53" s="688"/>
      <c r="G53" s="688"/>
      <c r="H53" s="688"/>
      <c r="I53" s="689"/>
      <c r="J53" s="63" t="e">
        <f>IF(AND(#REF!="Muy Baja",#REF!="Leve"),CONCATENATE("R8C",#REF!),"")</f>
        <v>#REF!</v>
      </c>
      <c r="K53" s="64" t="e">
        <f>IF(AND(#REF!="Muy Baja",#REF!="Leve"),CONCATENATE("R8C",#REF!),"")</f>
        <v>#REF!</v>
      </c>
      <c r="L53" s="64" t="e">
        <f>IF(AND(#REF!="Muy Baja",#REF!="Leve"),CONCATENATE("R8C",#REF!),"")</f>
        <v>#REF!</v>
      </c>
      <c r="M53" s="64" t="e">
        <f>IF(AND(#REF!="Muy Baja",#REF!="Leve"),CONCATENATE("R8C",#REF!),"")</f>
        <v>#REF!</v>
      </c>
      <c r="N53" s="64" t="e">
        <f>IF(AND(#REF!="Muy Baja",#REF!="Leve"),CONCATENATE("R8C",#REF!),"")</f>
        <v>#REF!</v>
      </c>
      <c r="O53" s="65" t="e">
        <f>IF(AND(#REF!="Muy Baja",#REF!="Leve"),CONCATENATE("R8C",#REF!),"")</f>
        <v>#REF!</v>
      </c>
      <c r="P53" s="63" t="e">
        <f>IF(AND(#REF!="Muy Baja",#REF!="Menor"),CONCATENATE("R8C",#REF!),"")</f>
        <v>#REF!</v>
      </c>
      <c r="Q53" s="64" t="e">
        <f>IF(AND(#REF!="Muy Baja",#REF!="Menor"),CONCATENATE("R8C",#REF!),"")</f>
        <v>#REF!</v>
      </c>
      <c r="R53" s="64" t="e">
        <f>IF(AND(#REF!="Muy Baja",#REF!="Menor"),CONCATENATE("R8C",#REF!),"")</f>
        <v>#REF!</v>
      </c>
      <c r="S53" s="64" t="e">
        <f>IF(AND(#REF!="Muy Baja",#REF!="Menor"),CONCATENATE("R8C",#REF!),"")</f>
        <v>#REF!</v>
      </c>
      <c r="T53" s="64" t="e">
        <f>IF(AND(#REF!="Muy Baja",#REF!="Menor"),CONCATENATE("R8C",#REF!),"")</f>
        <v>#REF!</v>
      </c>
      <c r="U53" s="65" t="e">
        <f>IF(AND(#REF!="Muy Baja",#REF!="Menor"),CONCATENATE("R8C",#REF!),"")</f>
        <v>#REF!</v>
      </c>
      <c r="V53" s="54" t="e">
        <f>IF(AND(#REF!="Muy Baja",#REF!="Moderado"),CONCATENATE("R8C",#REF!),"")</f>
        <v>#REF!</v>
      </c>
      <c r="W53" s="55" t="e">
        <f>IF(AND(#REF!="Muy Baja",#REF!="Moderado"),CONCATENATE("R8C",#REF!),"")</f>
        <v>#REF!</v>
      </c>
      <c r="X53" s="55" t="e">
        <f>IF(AND(#REF!="Muy Baja",#REF!="Moderado"),CONCATENATE("R8C",#REF!),"")</f>
        <v>#REF!</v>
      </c>
      <c r="Y53" s="55" t="e">
        <f>IF(AND(#REF!="Muy Baja",#REF!="Moderado"),CONCATENATE("R8C",#REF!),"")</f>
        <v>#REF!</v>
      </c>
      <c r="Z53" s="55" t="e">
        <f>IF(AND(#REF!="Muy Baja",#REF!="Moderado"),CONCATENATE("R8C",#REF!),"")</f>
        <v>#REF!</v>
      </c>
      <c r="AA53" s="56" t="e">
        <f>IF(AND(#REF!="Muy Baja",#REF!="Moderado"),CONCATENATE("R8C",#REF!),"")</f>
        <v>#REF!</v>
      </c>
      <c r="AB53" s="39" t="e">
        <f>IF(AND(#REF!="Muy Baja",#REF!="Mayor"),CONCATENATE("R8C",#REF!),"")</f>
        <v>#REF!</v>
      </c>
      <c r="AC53" s="40" t="e">
        <f>IF(AND(#REF!="Muy Baja",#REF!="Mayor"),CONCATENATE("R8C",#REF!),"")</f>
        <v>#REF!</v>
      </c>
      <c r="AD53" s="40" t="e">
        <f>IF(AND(#REF!="Muy Baja",#REF!="Mayor"),CONCATENATE("R8C",#REF!),"")</f>
        <v>#REF!</v>
      </c>
      <c r="AE53" s="40" t="e">
        <f>IF(AND(#REF!="Muy Baja",#REF!="Mayor"),CONCATENATE("R8C",#REF!),"")</f>
        <v>#REF!</v>
      </c>
      <c r="AF53" s="40" t="e">
        <f>IF(AND(#REF!="Muy Baja",#REF!="Mayor"),CONCATENATE("R8C",#REF!),"")</f>
        <v>#REF!</v>
      </c>
      <c r="AG53" s="41" t="e">
        <f>IF(AND(#REF!="Muy Baja",#REF!="Mayor"),CONCATENATE("R8C",#REF!),"")</f>
        <v>#REF!</v>
      </c>
      <c r="AH53" s="42" t="e">
        <f>IF(AND(#REF!="Muy Baja",#REF!="Catastrófico"),CONCATENATE("R8C",#REF!),"")</f>
        <v>#REF!</v>
      </c>
      <c r="AI53" s="43" t="e">
        <f>IF(AND(#REF!="Muy Baja",#REF!="Catastrófico"),CONCATENATE("R8C",#REF!),"")</f>
        <v>#REF!</v>
      </c>
      <c r="AJ53" s="43" t="e">
        <f>IF(AND(#REF!="Muy Baja",#REF!="Catastrófico"),CONCATENATE("R8C",#REF!),"")</f>
        <v>#REF!</v>
      </c>
      <c r="AK53" s="43" t="e">
        <f>IF(AND(#REF!="Muy Baja",#REF!="Catastrófico"),CONCATENATE("R8C",#REF!),"")</f>
        <v>#REF!</v>
      </c>
      <c r="AL53" s="43" t="e">
        <f>IF(AND(#REF!="Muy Baja",#REF!="Catastrófico"),CONCATENATE("R8C",#REF!),"")</f>
        <v>#REF!</v>
      </c>
      <c r="AM53" s="44" t="e">
        <f>IF(AND(#REF!="Muy Baja",#REF!="Catastrófico"),CONCATENATE("R8C",#REF!),"")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646"/>
      <c r="C54" s="646"/>
      <c r="D54" s="647"/>
      <c r="E54" s="687"/>
      <c r="F54" s="688"/>
      <c r="G54" s="688"/>
      <c r="H54" s="688"/>
      <c r="I54" s="689"/>
      <c r="J54" s="63" t="e">
        <f>IF(AND(#REF!="Muy Baja",#REF!="Leve"),CONCATENATE("R9C",#REF!),"")</f>
        <v>#REF!</v>
      </c>
      <c r="K54" s="64" t="e">
        <f>IF(AND(#REF!="Muy Baja",#REF!="Leve"),CONCATENATE("R9C",#REF!),"")</f>
        <v>#REF!</v>
      </c>
      <c r="L54" s="64" t="e">
        <f>IF(AND(#REF!="Muy Baja",#REF!="Leve"),CONCATENATE("R9C",#REF!),"")</f>
        <v>#REF!</v>
      </c>
      <c r="M54" s="64" t="e">
        <f>IF(AND(#REF!="Muy Baja",#REF!="Leve"),CONCATENATE("R9C",#REF!),"")</f>
        <v>#REF!</v>
      </c>
      <c r="N54" s="64" t="e">
        <f>IF(AND(#REF!="Muy Baja",#REF!="Leve"),CONCATENATE("R9C",#REF!),"")</f>
        <v>#REF!</v>
      </c>
      <c r="O54" s="65" t="e">
        <f>IF(AND(#REF!="Muy Baja",#REF!="Leve"),CONCATENATE("R9C",#REF!),"")</f>
        <v>#REF!</v>
      </c>
      <c r="P54" s="63" t="e">
        <f>IF(AND(#REF!="Muy Baja",#REF!="Menor"),CONCATENATE("R9C",#REF!),"")</f>
        <v>#REF!</v>
      </c>
      <c r="Q54" s="64" t="e">
        <f>IF(AND(#REF!="Muy Baja",#REF!="Menor"),CONCATENATE("R9C",#REF!),"")</f>
        <v>#REF!</v>
      </c>
      <c r="R54" s="64" t="e">
        <f>IF(AND(#REF!="Muy Baja",#REF!="Menor"),CONCATENATE("R9C",#REF!),"")</f>
        <v>#REF!</v>
      </c>
      <c r="S54" s="64" t="e">
        <f>IF(AND(#REF!="Muy Baja",#REF!="Menor"),CONCATENATE("R9C",#REF!),"")</f>
        <v>#REF!</v>
      </c>
      <c r="T54" s="64" t="e">
        <f>IF(AND(#REF!="Muy Baja",#REF!="Menor"),CONCATENATE("R9C",#REF!),"")</f>
        <v>#REF!</v>
      </c>
      <c r="U54" s="65" t="e">
        <f>IF(AND(#REF!="Muy Baja",#REF!="Menor"),CONCATENATE("R9C",#REF!),"")</f>
        <v>#REF!</v>
      </c>
      <c r="V54" s="54" t="e">
        <f>IF(AND(#REF!="Muy Baja",#REF!="Moderado"),CONCATENATE("R9C",#REF!),"")</f>
        <v>#REF!</v>
      </c>
      <c r="W54" s="55" t="e">
        <f>IF(AND(#REF!="Muy Baja",#REF!="Moderado"),CONCATENATE("R9C",#REF!),"")</f>
        <v>#REF!</v>
      </c>
      <c r="X54" s="55" t="e">
        <f>IF(AND(#REF!="Muy Baja",#REF!="Moderado"),CONCATENATE("R9C",#REF!),"")</f>
        <v>#REF!</v>
      </c>
      <c r="Y54" s="55" t="e">
        <f>IF(AND(#REF!="Muy Baja",#REF!="Moderado"),CONCATENATE("R9C",#REF!),"")</f>
        <v>#REF!</v>
      </c>
      <c r="Z54" s="55" t="e">
        <f>IF(AND(#REF!="Muy Baja",#REF!="Moderado"),CONCATENATE("R9C",#REF!),"")</f>
        <v>#REF!</v>
      </c>
      <c r="AA54" s="56" t="e">
        <f>IF(AND(#REF!="Muy Baja",#REF!="Moderado"),CONCATENATE("R9C",#REF!),"")</f>
        <v>#REF!</v>
      </c>
      <c r="AB54" s="39" t="e">
        <f>IF(AND(#REF!="Muy Baja",#REF!="Mayor"),CONCATENATE("R9C",#REF!),"")</f>
        <v>#REF!</v>
      </c>
      <c r="AC54" s="40" t="e">
        <f>IF(AND(#REF!="Muy Baja",#REF!="Mayor"),CONCATENATE("R9C",#REF!),"")</f>
        <v>#REF!</v>
      </c>
      <c r="AD54" s="40" t="e">
        <f>IF(AND(#REF!="Muy Baja",#REF!="Mayor"),CONCATENATE("R9C",#REF!),"")</f>
        <v>#REF!</v>
      </c>
      <c r="AE54" s="40" t="e">
        <f>IF(AND(#REF!="Muy Baja",#REF!="Mayor"),CONCATENATE("R9C",#REF!),"")</f>
        <v>#REF!</v>
      </c>
      <c r="AF54" s="40" t="e">
        <f>IF(AND(#REF!="Muy Baja",#REF!="Mayor"),CONCATENATE("R9C",#REF!),"")</f>
        <v>#REF!</v>
      </c>
      <c r="AG54" s="41" t="e">
        <f>IF(AND(#REF!="Muy Baja",#REF!="Mayor"),CONCATENATE("R9C",#REF!),"")</f>
        <v>#REF!</v>
      </c>
      <c r="AH54" s="42" t="e">
        <f>IF(AND(#REF!="Muy Baja",#REF!="Catastrófico"),CONCATENATE("R9C",#REF!),"")</f>
        <v>#REF!</v>
      </c>
      <c r="AI54" s="43" t="e">
        <f>IF(AND(#REF!="Muy Baja",#REF!="Catastrófico"),CONCATENATE("R9C",#REF!),"")</f>
        <v>#REF!</v>
      </c>
      <c r="AJ54" s="43" t="e">
        <f>IF(AND(#REF!="Muy Baja",#REF!="Catastrófico"),CONCATENATE("R9C",#REF!),"")</f>
        <v>#REF!</v>
      </c>
      <c r="AK54" s="43" t="e">
        <f>IF(AND(#REF!="Muy Baja",#REF!="Catastrófico"),CONCATENATE("R9C",#REF!),"")</f>
        <v>#REF!</v>
      </c>
      <c r="AL54" s="43" t="e">
        <f>IF(AND(#REF!="Muy Baja",#REF!="Catastrófico"),CONCATENATE("R9C",#REF!),"")</f>
        <v>#REF!</v>
      </c>
      <c r="AM54" s="44" t="e">
        <f>IF(AND(#REF!="Muy Baja",#REF!="Catastrófico"),CONCATENATE("R9C",#REF!),"")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646"/>
      <c r="C55" s="646"/>
      <c r="D55" s="647"/>
      <c r="E55" s="690"/>
      <c r="F55" s="691"/>
      <c r="G55" s="691"/>
      <c r="H55" s="691"/>
      <c r="I55" s="692"/>
      <c r="J55" s="66" t="e">
        <f>IF(AND(#REF!="Muy Baja",#REF!="Leve"),CONCATENATE("R10C",#REF!),"")</f>
        <v>#REF!</v>
      </c>
      <c r="K55" s="67" t="e">
        <f>IF(AND(#REF!="Muy Baja",#REF!="Leve"),CONCATENATE("R10C",#REF!),"")</f>
        <v>#REF!</v>
      </c>
      <c r="L55" s="67" t="e">
        <f>IF(AND(#REF!="Muy Baja",#REF!="Leve"),CONCATENATE("R10C",#REF!),"")</f>
        <v>#REF!</v>
      </c>
      <c r="M55" s="67" t="e">
        <f>IF(AND(#REF!="Muy Baja",#REF!="Leve"),CONCATENATE("R10C",#REF!),"")</f>
        <v>#REF!</v>
      </c>
      <c r="N55" s="67" t="e">
        <f>IF(AND(#REF!="Muy Baja",#REF!="Leve"),CONCATENATE("R10C",#REF!),"")</f>
        <v>#REF!</v>
      </c>
      <c r="O55" s="68" t="e">
        <f>IF(AND(#REF!="Muy Baja",#REF!="Leve"),CONCATENATE("R10C",#REF!),"")</f>
        <v>#REF!</v>
      </c>
      <c r="P55" s="66" t="e">
        <f>IF(AND(#REF!="Muy Baja",#REF!="Menor"),CONCATENATE("R10C",#REF!),"")</f>
        <v>#REF!</v>
      </c>
      <c r="Q55" s="67" t="e">
        <f>IF(AND(#REF!="Muy Baja",#REF!="Menor"),CONCATENATE("R10C",#REF!),"")</f>
        <v>#REF!</v>
      </c>
      <c r="R55" s="67" t="e">
        <f>IF(AND(#REF!="Muy Baja",#REF!="Menor"),CONCATENATE("R10C",#REF!),"")</f>
        <v>#REF!</v>
      </c>
      <c r="S55" s="67" t="e">
        <f>IF(AND(#REF!="Muy Baja",#REF!="Menor"),CONCATENATE("R10C",#REF!),"")</f>
        <v>#REF!</v>
      </c>
      <c r="T55" s="67" t="e">
        <f>IF(AND(#REF!="Muy Baja",#REF!="Menor"),CONCATENATE("R10C",#REF!),"")</f>
        <v>#REF!</v>
      </c>
      <c r="U55" s="68" t="e">
        <f>IF(AND(#REF!="Muy Baja",#REF!="Menor"),CONCATENATE("R10C",#REF!),"")</f>
        <v>#REF!</v>
      </c>
      <c r="V55" s="57" t="e">
        <f>IF(AND(#REF!="Muy Baja",#REF!="Moderado"),CONCATENATE("R10C",#REF!),"")</f>
        <v>#REF!</v>
      </c>
      <c r="W55" s="58" t="e">
        <f>IF(AND(#REF!="Muy Baja",#REF!="Moderado"),CONCATENATE("R10C",#REF!),"")</f>
        <v>#REF!</v>
      </c>
      <c r="X55" s="58" t="e">
        <f>IF(AND(#REF!="Muy Baja",#REF!="Moderado"),CONCATENATE("R10C",#REF!),"")</f>
        <v>#REF!</v>
      </c>
      <c r="Y55" s="58" t="e">
        <f>IF(AND(#REF!="Muy Baja",#REF!="Moderado"),CONCATENATE("R10C",#REF!),"")</f>
        <v>#REF!</v>
      </c>
      <c r="Z55" s="58" t="e">
        <f>IF(AND(#REF!="Muy Baja",#REF!="Moderado"),CONCATENATE("R10C",#REF!),"")</f>
        <v>#REF!</v>
      </c>
      <c r="AA55" s="59" t="e">
        <f>IF(AND(#REF!="Muy Baja",#REF!="Moderado"),CONCATENATE("R10C",#REF!),"")</f>
        <v>#REF!</v>
      </c>
      <c r="AB55" s="45" t="e">
        <f>IF(AND(#REF!="Muy Baja",#REF!="Mayor"),CONCATENATE("R10C",#REF!),"")</f>
        <v>#REF!</v>
      </c>
      <c r="AC55" s="46" t="e">
        <f>IF(AND(#REF!="Muy Baja",#REF!="Mayor"),CONCATENATE("R10C",#REF!),"")</f>
        <v>#REF!</v>
      </c>
      <c r="AD55" s="46" t="e">
        <f>IF(AND(#REF!="Muy Baja",#REF!="Mayor"),CONCATENATE("R10C",#REF!),"")</f>
        <v>#REF!</v>
      </c>
      <c r="AE55" s="46" t="e">
        <f>IF(AND(#REF!="Muy Baja",#REF!="Mayor"),CONCATENATE("R10C",#REF!),"")</f>
        <v>#REF!</v>
      </c>
      <c r="AF55" s="46" t="e">
        <f>IF(AND(#REF!="Muy Baja",#REF!="Mayor"),CONCATENATE("R10C",#REF!),"")</f>
        <v>#REF!</v>
      </c>
      <c r="AG55" s="47" t="e">
        <f>IF(AND(#REF!="Muy Baja",#REF!="Mayor"),CONCATENATE("R10C",#REF!),"")</f>
        <v>#REF!</v>
      </c>
      <c r="AH55" s="48" t="e">
        <f>IF(AND(#REF!="Muy Baja",#REF!="Catastrófico"),CONCATENATE("R10C",#REF!),"")</f>
        <v>#REF!</v>
      </c>
      <c r="AI55" s="49" t="e">
        <f>IF(AND(#REF!="Muy Baja",#REF!="Catastrófico"),CONCATENATE("R10C",#REF!),"")</f>
        <v>#REF!</v>
      </c>
      <c r="AJ55" s="49" t="e">
        <f>IF(AND(#REF!="Muy Baja",#REF!="Catastrófico"),CONCATENATE("R10C",#REF!),"")</f>
        <v>#REF!</v>
      </c>
      <c r="AK55" s="49" t="e">
        <f>IF(AND(#REF!="Muy Baja",#REF!="Catastrófico"),CONCATENATE("R10C",#REF!),"")</f>
        <v>#REF!</v>
      </c>
      <c r="AL55" s="49" t="e">
        <f>IF(AND(#REF!="Muy Baja",#REF!="Catastrófico"),CONCATENATE("R10C",#REF!),"")</f>
        <v>#REF!</v>
      </c>
      <c r="AM55" s="50" t="e">
        <f>IF(AND(#REF!="Muy Baja",#REF!="Catastrófico"),CONCATENATE("R10C",#REF!),"")</f>
        <v>#REF!</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684" t="s">
        <v>96</v>
      </c>
      <c r="K56" s="685"/>
      <c r="L56" s="685"/>
      <c r="M56" s="685"/>
      <c r="N56" s="685"/>
      <c r="O56" s="686"/>
      <c r="P56" s="684" t="s">
        <v>95</v>
      </c>
      <c r="Q56" s="685"/>
      <c r="R56" s="685"/>
      <c r="S56" s="685"/>
      <c r="T56" s="685"/>
      <c r="U56" s="686"/>
      <c r="V56" s="684" t="s">
        <v>94</v>
      </c>
      <c r="W56" s="685"/>
      <c r="X56" s="685"/>
      <c r="Y56" s="685"/>
      <c r="Z56" s="685"/>
      <c r="AA56" s="686"/>
      <c r="AB56" s="684" t="s">
        <v>93</v>
      </c>
      <c r="AC56" s="693"/>
      <c r="AD56" s="685"/>
      <c r="AE56" s="685"/>
      <c r="AF56" s="685"/>
      <c r="AG56" s="686"/>
      <c r="AH56" s="684" t="s">
        <v>92</v>
      </c>
      <c r="AI56" s="685"/>
      <c r="AJ56" s="685"/>
      <c r="AK56" s="685"/>
      <c r="AL56" s="685"/>
      <c r="AM56" s="686"/>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687"/>
      <c r="K57" s="688"/>
      <c r="L57" s="688"/>
      <c r="M57" s="688"/>
      <c r="N57" s="688"/>
      <c r="O57" s="689"/>
      <c r="P57" s="687"/>
      <c r="Q57" s="688"/>
      <c r="R57" s="688"/>
      <c r="S57" s="688"/>
      <c r="T57" s="688"/>
      <c r="U57" s="689"/>
      <c r="V57" s="687"/>
      <c r="W57" s="688"/>
      <c r="X57" s="688"/>
      <c r="Y57" s="688"/>
      <c r="Z57" s="688"/>
      <c r="AA57" s="689"/>
      <c r="AB57" s="687"/>
      <c r="AC57" s="688"/>
      <c r="AD57" s="688"/>
      <c r="AE57" s="688"/>
      <c r="AF57" s="688"/>
      <c r="AG57" s="689"/>
      <c r="AH57" s="687"/>
      <c r="AI57" s="688"/>
      <c r="AJ57" s="688"/>
      <c r="AK57" s="688"/>
      <c r="AL57" s="688"/>
      <c r="AM57" s="689"/>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687"/>
      <c r="K58" s="688"/>
      <c r="L58" s="688"/>
      <c r="M58" s="688"/>
      <c r="N58" s="688"/>
      <c r="O58" s="689"/>
      <c r="P58" s="687"/>
      <c r="Q58" s="688"/>
      <c r="R58" s="688"/>
      <c r="S58" s="688"/>
      <c r="T58" s="688"/>
      <c r="U58" s="689"/>
      <c r="V58" s="687"/>
      <c r="W58" s="688"/>
      <c r="X58" s="688"/>
      <c r="Y58" s="688"/>
      <c r="Z58" s="688"/>
      <c r="AA58" s="689"/>
      <c r="AB58" s="687"/>
      <c r="AC58" s="688"/>
      <c r="AD58" s="688"/>
      <c r="AE58" s="688"/>
      <c r="AF58" s="688"/>
      <c r="AG58" s="689"/>
      <c r="AH58" s="687"/>
      <c r="AI58" s="688"/>
      <c r="AJ58" s="688"/>
      <c r="AK58" s="688"/>
      <c r="AL58" s="688"/>
      <c r="AM58" s="689"/>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687"/>
      <c r="K59" s="688"/>
      <c r="L59" s="688"/>
      <c r="M59" s="688"/>
      <c r="N59" s="688"/>
      <c r="O59" s="689"/>
      <c r="P59" s="687"/>
      <c r="Q59" s="688"/>
      <c r="R59" s="688"/>
      <c r="S59" s="688"/>
      <c r="T59" s="688"/>
      <c r="U59" s="689"/>
      <c r="V59" s="687"/>
      <c r="W59" s="688"/>
      <c r="X59" s="688"/>
      <c r="Y59" s="688"/>
      <c r="Z59" s="688"/>
      <c r="AA59" s="689"/>
      <c r="AB59" s="687"/>
      <c r="AC59" s="688"/>
      <c r="AD59" s="688"/>
      <c r="AE59" s="688"/>
      <c r="AF59" s="688"/>
      <c r="AG59" s="689"/>
      <c r="AH59" s="687"/>
      <c r="AI59" s="688"/>
      <c r="AJ59" s="688"/>
      <c r="AK59" s="688"/>
      <c r="AL59" s="688"/>
      <c r="AM59" s="689"/>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687"/>
      <c r="K60" s="688"/>
      <c r="L60" s="688"/>
      <c r="M60" s="688"/>
      <c r="N60" s="688"/>
      <c r="O60" s="689"/>
      <c r="P60" s="687"/>
      <c r="Q60" s="688"/>
      <c r="R60" s="688"/>
      <c r="S60" s="688"/>
      <c r="T60" s="688"/>
      <c r="U60" s="689"/>
      <c r="V60" s="687"/>
      <c r="W60" s="688"/>
      <c r="X60" s="688"/>
      <c r="Y60" s="688"/>
      <c r="Z60" s="688"/>
      <c r="AA60" s="689"/>
      <c r="AB60" s="687"/>
      <c r="AC60" s="688"/>
      <c r="AD60" s="688"/>
      <c r="AE60" s="688"/>
      <c r="AF60" s="688"/>
      <c r="AG60" s="689"/>
      <c r="AH60" s="687"/>
      <c r="AI60" s="688"/>
      <c r="AJ60" s="688"/>
      <c r="AK60" s="688"/>
      <c r="AL60" s="688"/>
      <c r="AM60" s="689"/>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690"/>
      <c r="K61" s="691"/>
      <c r="L61" s="691"/>
      <c r="M61" s="691"/>
      <c r="N61" s="691"/>
      <c r="O61" s="692"/>
      <c r="P61" s="690"/>
      <c r="Q61" s="691"/>
      <c r="R61" s="691"/>
      <c r="S61" s="691"/>
      <c r="T61" s="691"/>
      <c r="U61" s="692"/>
      <c r="V61" s="690"/>
      <c r="W61" s="691"/>
      <c r="X61" s="691"/>
      <c r="Y61" s="691"/>
      <c r="Z61" s="691"/>
      <c r="AA61" s="692"/>
      <c r="AB61" s="690"/>
      <c r="AC61" s="691"/>
      <c r="AD61" s="691"/>
      <c r="AE61" s="691"/>
      <c r="AF61" s="691"/>
      <c r="AG61" s="692"/>
      <c r="AH61" s="690"/>
      <c r="AI61" s="691"/>
      <c r="AJ61" s="691"/>
      <c r="AK61" s="691"/>
      <c r="AL61" s="691"/>
      <c r="AM61" s="692"/>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0000"/>
  </sheetPr>
  <dimension ref="A1:AK55"/>
  <sheetViews>
    <sheetView zoomScale="60" zoomScaleNormal="60" workbookViewId="0">
      <selection activeCell="A7" sqref="A7"/>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70"/>
      <c r="B1" s="733" t="s">
        <v>41</v>
      </c>
      <c r="C1" s="733"/>
      <c r="D1" s="733"/>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38</v>
      </c>
      <c r="D3" s="4" t="s">
        <v>3</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37</v>
      </c>
      <c r="C4" s="6" t="s">
        <v>86</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39</v>
      </c>
      <c r="C5" s="9" t="s">
        <v>87</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91</v>
      </c>
      <c r="C6" s="9" t="s">
        <v>88</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5</v>
      </c>
      <c r="C7" s="9" t="s">
        <v>89</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40</v>
      </c>
      <c r="C8" s="9" t="s">
        <v>90</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0000"/>
  </sheetPr>
  <dimension ref="A1:U232"/>
  <sheetViews>
    <sheetView zoomScale="40" zoomScaleNormal="40" workbookViewId="0">
      <selection activeCell="B6" sqref="B6"/>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734" t="s">
        <v>49</v>
      </c>
      <c r="C1" s="734"/>
      <c r="D1" s="734"/>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3" t="s">
        <v>42</v>
      </c>
      <c r="D3" s="23" t="s">
        <v>43</v>
      </c>
      <c r="E3" s="70"/>
      <c r="F3" s="70"/>
      <c r="G3" s="70"/>
      <c r="H3" s="70"/>
      <c r="I3" s="70"/>
      <c r="J3" s="70"/>
      <c r="K3" s="70"/>
      <c r="L3" s="70"/>
      <c r="M3" s="70"/>
      <c r="N3" s="70"/>
      <c r="O3" s="70"/>
      <c r="P3" s="70"/>
      <c r="Q3" s="70"/>
      <c r="R3" s="70"/>
      <c r="S3" s="70"/>
      <c r="T3" s="70"/>
      <c r="U3" s="70"/>
    </row>
    <row r="4" spans="1:21" ht="33.75" x14ac:dyDescent="0.25">
      <c r="A4" s="90" t="s">
        <v>69</v>
      </c>
      <c r="B4" s="26" t="s">
        <v>85</v>
      </c>
      <c r="C4" s="31" t="s">
        <v>124</v>
      </c>
      <c r="D4" s="24" t="s">
        <v>81</v>
      </c>
      <c r="E4" s="70"/>
      <c r="F4" s="70"/>
      <c r="G4" s="70"/>
      <c r="H4" s="70"/>
      <c r="I4" s="70"/>
      <c r="J4" s="70"/>
      <c r="K4" s="70"/>
      <c r="L4" s="70"/>
      <c r="M4" s="70"/>
      <c r="N4" s="70"/>
      <c r="O4" s="70"/>
      <c r="P4" s="70"/>
      <c r="Q4" s="70"/>
      <c r="R4" s="70"/>
      <c r="S4" s="70"/>
      <c r="T4" s="70"/>
      <c r="U4" s="70"/>
    </row>
    <row r="5" spans="1:21" ht="67.5" x14ac:dyDescent="0.25">
      <c r="A5" s="90" t="s">
        <v>70</v>
      </c>
      <c r="B5" s="27" t="s">
        <v>45</v>
      </c>
      <c r="C5" s="32" t="s">
        <v>77</v>
      </c>
      <c r="D5" s="25" t="s">
        <v>82</v>
      </c>
      <c r="E5" s="70"/>
      <c r="F5" s="70"/>
      <c r="G5" s="70"/>
      <c r="H5" s="70"/>
      <c r="I5" s="70"/>
      <c r="J5" s="70"/>
      <c r="K5" s="70"/>
      <c r="L5" s="70"/>
      <c r="M5" s="70"/>
      <c r="N5" s="70"/>
      <c r="O5" s="70"/>
      <c r="P5" s="70"/>
      <c r="Q5" s="70"/>
      <c r="R5" s="70"/>
      <c r="S5" s="70"/>
      <c r="T5" s="70"/>
      <c r="U5" s="70"/>
    </row>
    <row r="6" spans="1:21" ht="67.5" x14ac:dyDescent="0.25">
      <c r="A6" s="90" t="s">
        <v>67</v>
      </c>
      <c r="B6" s="28" t="s">
        <v>46</v>
      </c>
      <c r="C6" s="32" t="s">
        <v>78</v>
      </c>
      <c r="D6" s="25" t="s">
        <v>84</v>
      </c>
      <c r="E6" s="70"/>
      <c r="F6" s="70"/>
      <c r="G6" s="70"/>
      <c r="H6" s="70"/>
      <c r="I6" s="70"/>
      <c r="J6" s="70"/>
      <c r="K6" s="70"/>
      <c r="L6" s="70"/>
      <c r="M6" s="70"/>
      <c r="N6" s="70"/>
      <c r="O6" s="70"/>
      <c r="P6" s="70"/>
      <c r="Q6" s="70"/>
      <c r="R6" s="70"/>
      <c r="S6" s="70"/>
      <c r="T6" s="70"/>
      <c r="U6" s="70"/>
    </row>
    <row r="7" spans="1:21" ht="101.25" x14ac:dyDescent="0.25">
      <c r="A7" s="90" t="s">
        <v>6</v>
      </c>
      <c r="B7" s="29" t="s">
        <v>47</v>
      </c>
      <c r="C7" s="32" t="s">
        <v>79</v>
      </c>
      <c r="D7" s="25" t="s">
        <v>83</v>
      </c>
      <c r="E7" s="70"/>
      <c r="F7" s="70"/>
      <c r="G7" s="70"/>
      <c r="H7" s="70"/>
      <c r="I7" s="70"/>
      <c r="J7" s="70"/>
      <c r="K7" s="70"/>
      <c r="L7" s="70"/>
      <c r="M7" s="70"/>
      <c r="N7" s="70"/>
      <c r="O7" s="70"/>
      <c r="P7" s="70"/>
      <c r="Q7" s="70"/>
      <c r="R7" s="70"/>
      <c r="S7" s="70"/>
      <c r="T7" s="70"/>
      <c r="U7" s="70"/>
    </row>
    <row r="8" spans="1:21" ht="67.5" x14ac:dyDescent="0.25">
      <c r="A8" s="90" t="s">
        <v>71</v>
      </c>
      <c r="B8" s="30" t="s">
        <v>48</v>
      </c>
      <c r="C8" s="32" t="s">
        <v>80</v>
      </c>
      <c r="D8" s="25" t="s">
        <v>102</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75</v>
      </c>
      <c r="C11" s="90" t="s">
        <v>112</v>
      </c>
      <c r="D11" s="90" t="s">
        <v>119</v>
      </c>
      <c r="E11" s="70"/>
      <c r="F11" s="70"/>
      <c r="G11" s="70"/>
      <c r="H11" s="70"/>
      <c r="I11" s="70"/>
      <c r="J11" s="70"/>
      <c r="K11" s="70"/>
      <c r="L11" s="70"/>
      <c r="M11" s="70"/>
      <c r="N11" s="70"/>
      <c r="O11" s="70"/>
      <c r="P11" s="70"/>
      <c r="Q11" s="70"/>
      <c r="R11" s="70"/>
      <c r="S11" s="70"/>
      <c r="T11" s="70"/>
      <c r="U11" s="70"/>
    </row>
    <row r="12" spans="1:21" x14ac:dyDescent="0.25">
      <c r="A12" s="90"/>
      <c r="B12" s="90" t="s">
        <v>73</v>
      </c>
      <c r="C12" s="90" t="s">
        <v>116</v>
      </c>
      <c r="D12" s="90" t="s">
        <v>120</v>
      </c>
      <c r="E12" s="70"/>
      <c r="F12" s="70"/>
      <c r="G12" s="70"/>
      <c r="H12" s="70"/>
      <c r="I12" s="70"/>
      <c r="J12" s="70"/>
      <c r="K12" s="70"/>
      <c r="L12" s="70"/>
      <c r="M12" s="70"/>
      <c r="N12" s="70"/>
      <c r="O12" s="70"/>
      <c r="P12" s="70"/>
      <c r="Q12" s="70"/>
      <c r="R12" s="70"/>
      <c r="S12" s="70"/>
      <c r="T12" s="70"/>
      <c r="U12" s="70"/>
    </row>
    <row r="13" spans="1:21" x14ac:dyDescent="0.25">
      <c r="A13" s="90"/>
      <c r="B13" s="90"/>
      <c r="C13" s="90" t="s">
        <v>115</v>
      </c>
      <c r="D13" s="90" t="s">
        <v>121</v>
      </c>
      <c r="E13" s="70"/>
      <c r="F13" s="70"/>
      <c r="G13" s="70"/>
      <c r="H13" s="70"/>
      <c r="I13" s="70"/>
      <c r="J13" s="70"/>
      <c r="K13" s="70"/>
      <c r="L13" s="70"/>
      <c r="M13" s="70"/>
      <c r="N13" s="70"/>
      <c r="O13" s="70"/>
      <c r="P13" s="70"/>
      <c r="Q13" s="70"/>
      <c r="R13" s="70"/>
      <c r="S13" s="70"/>
      <c r="T13" s="70"/>
      <c r="U13" s="70"/>
    </row>
    <row r="14" spans="1:21" x14ac:dyDescent="0.25">
      <c r="A14" s="90"/>
      <c r="B14" s="90"/>
      <c r="C14" s="90" t="s">
        <v>117</v>
      </c>
      <c r="D14" s="90" t="s">
        <v>122</v>
      </c>
      <c r="E14" s="70"/>
      <c r="F14" s="70"/>
      <c r="G14" s="70"/>
      <c r="H14" s="70"/>
      <c r="I14" s="70"/>
      <c r="J14" s="70"/>
      <c r="K14" s="70"/>
      <c r="L14" s="70"/>
      <c r="M14" s="70"/>
      <c r="N14" s="70"/>
      <c r="O14" s="70"/>
      <c r="P14" s="70"/>
      <c r="Q14" s="70"/>
      <c r="R14" s="70"/>
      <c r="S14" s="70"/>
      <c r="T14" s="70"/>
      <c r="U14" s="70"/>
    </row>
    <row r="15" spans="1:21" x14ac:dyDescent="0.25">
      <c r="A15" s="90"/>
      <c r="B15" s="90"/>
      <c r="C15" s="90" t="s">
        <v>118</v>
      </c>
      <c r="D15" s="90" t="s">
        <v>123</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1"/>
      <c r="D52" s="21"/>
    </row>
    <row r="53" spans="1:15" ht="20.25" x14ac:dyDescent="0.25">
      <c r="A53" s="90"/>
      <c r="B53" s="15"/>
      <c r="C53" s="21"/>
      <c r="D53" s="21"/>
    </row>
    <row r="54" spans="1:15" ht="20.25" x14ac:dyDescent="0.25">
      <c r="A54" s="90"/>
      <c r="B54" s="15"/>
      <c r="C54" s="21"/>
      <c r="D54" s="21"/>
    </row>
    <row r="55" spans="1:15" ht="20.25" x14ac:dyDescent="0.25">
      <c r="A55" s="90"/>
      <c r="B55" s="15"/>
      <c r="C55" s="21"/>
      <c r="D55" s="21"/>
    </row>
    <row r="56" spans="1:15" ht="20.25" x14ac:dyDescent="0.25">
      <c r="A56" s="90"/>
      <c r="B56" s="15"/>
      <c r="C56" s="21"/>
      <c r="D56" s="21"/>
    </row>
    <row r="57" spans="1:15" ht="20.25" x14ac:dyDescent="0.25">
      <c r="A57" s="90"/>
      <c r="B57" s="15"/>
      <c r="C57" s="21"/>
      <c r="D57" s="21"/>
    </row>
    <row r="58" spans="1:15" ht="20.25" x14ac:dyDescent="0.25">
      <c r="A58" s="90"/>
      <c r="B58" s="15"/>
      <c r="C58" s="21"/>
      <c r="D58" s="21"/>
    </row>
    <row r="59" spans="1:15" ht="20.25" x14ac:dyDescent="0.25">
      <c r="A59" s="90"/>
      <c r="B59" s="15"/>
      <c r="C59" s="21"/>
      <c r="D59" s="21"/>
    </row>
    <row r="60" spans="1:15" ht="20.25" x14ac:dyDescent="0.25">
      <c r="A60" s="90"/>
      <c r="B60" s="15"/>
      <c r="C60" s="21"/>
      <c r="D60" s="21"/>
    </row>
    <row r="61" spans="1:15" ht="20.25" x14ac:dyDescent="0.25">
      <c r="A61" s="90"/>
      <c r="B61" s="15"/>
      <c r="C61" s="21"/>
      <c r="D61" s="21"/>
    </row>
    <row r="62" spans="1:15" ht="20.25" x14ac:dyDescent="0.25">
      <c r="A62" s="90"/>
      <c r="B62" s="15"/>
      <c r="C62" s="21"/>
      <c r="D62" s="21"/>
    </row>
    <row r="63" spans="1:15" ht="20.25" x14ac:dyDescent="0.25">
      <c r="A63" s="90"/>
      <c r="B63" s="15"/>
      <c r="C63" s="21"/>
      <c r="D63" s="21"/>
    </row>
    <row r="64" spans="1:15" ht="20.25" x14ac:dyDescent="0.25">
      <c r="A64" s="90"/>
      <c r="B64" s="15"/>
      <c r="C64" s="21"/>
      <c r="D64" s="21"/>
    </row>
    <row r="65" spans="1:4" ht="20.25" x14ac:dyDescent="0.25">
      <c r="A65" s="90"/>
      <c r="B65" s="15"/>
      <c r="C65" s="21"/>
      <c r="D65" s="21"/>
    </row>
    <row r="66" spans="1:4" ht="20.25" x14ac:dyDescent="0.25">
      <c r="A66" s="90"/>
      <c r="B66" s="15"/>
      <c r="C66" s="21"/>
      <c r="D66" s="21"/>
    </row>
    <row r="67" spans="1:4" ht="20.25" x14ac:dyDescent="0.25">
      <c r="A67" s="90"/>
      <c r="B67" s="15"/>
      <c r="C67" s="21"/>
      <c r="D67" s="21"/>
    </row>
    <row r="68" spans="1:4" ht="20.25" x14ac:dyDescent="0.25">
      <c r="A68" s="90"/>
      <c r="B68" s="15"/>
      <c r="C68" s="21"/>
      <c r="D68" s="21"/>
    </row>
    <row r="69" spans="1:4" ht="20.25" x14ac:dyDescent="0.25">
      <c r="A69" s="90"/>
      <c r="B69" s="15"/>
      <c r="C69" s="21"/>
      <c r="D69" s="21"/>
    </row>
    <row r="70" spans="1:4" ht="20.25" x14ac:dyDescent="0.25">
      <c r="A70" s="90"/>
      <c r="B70" s="15"/>
      <c r="C70" s="21"/>
      <c r="D70" s="21"/>
    </row>
    <row r="71" spans="1:4" ht="20.25" x14ac:dyDescent="0.25">
      <c r="A71" s="90"/>
      <c r="B71" s="15"/>
      <c r="C71" s="21"/>
      <c r="D71" s="21"/>
    </row>
    <row r="72" spans="1:4" ht="20.25" x14ac:dyDescent="0.25">
      <c r="A72" s="90"/>
      <c r="B72" s="15"/>
      <c r="C72" s="21"/>
      <c r="D72" s="21"/>
    </row>
    <row r="73" spans="1:4" ht="20.25" x14ac:dyDescent="0.25">
      <c r="A73" s="90"/>
      <c r="B73" s="15"/>
      <c r="C73" s="21"/>
      <c r="D73" s="21"/>
    </row>
    <row r="74" spans="1:4" ht="20.25" x14ac:dyDescent="0.25">
      <c r="A74" s="90"/>
      <c r="B74" s="15"/>
      <c r="C74" s="21"/>
      <c r="D74" s="21"/>
    </row>
    <row r="75" spans="1:4" ht="20.25" x14ac:dyDescent="0.25">
      <c r="A75" s="90"/>
      <c r="B75" s="15"/>
      <c r="C75" s="21"/>
      <c r="D75" s="21"/>
    </row>
    <row r="76" spans="1:4" ht="20.25" x14ac:dyDescent="0.25">
      <c r="A76" s="90"/>
      <c r="B76" s="15"/>
      <c r="C76" s="21"/>
      <c r="D76" s="21"/>
    </row>
    <row r="77" spans="1:4" ht="20.25" x14ac:dyDescent="0.25">
      <c r="A77" s="90"/>
      <c r="B77" s="15"/>
      <c r="C77" s="21"/>
      <c r="D77" s="21"/>
    </row>
    <row r="78" spans="1:4" ht="20.25" x14ac:dyDescent="0.25">
      <c r="A78" s="90"/>
      <c r="B78" s="15"/>
      <c r="C78" s="21"/>
      <c r="D78" s="21"/>
    </row>
    <row r="79" spans="1:4" ht="20.25" x14ac:dyDescent="0.25">
      <c r="A79" s="90"/>
      <c r="B79" s="15"/>
      <c r="C79" s="21"/>
      <c r="D79" s="21"/>
    </row>
    <row r="80" spans="1:4" ht="20.25" x14ac:dyDescent="0.25">
      <c r="A80" s="90"/>
      <c r="B80" s="15"/>
      <c r="C80" s="21"/>
      <c r="D80" s="21"/>
    </row>
    <row r="81" spans="1:4" ht="20.25" x14ac:dyDescent="0.25">
      <c r="A81" s="90"/>
      <c r="B81" s="15"/>
      <c r="C81" s="21"/>
      <c r="D81" s="21"/>
    </row>
    <row r="82" spans="1:4" ht="20.25" x14ac:dyDescent="0.25">
      <c r="A82" s="90"/>
      <c r="B82" s="15"/>
      <c r="C82" s="21"/>
      <c r="D82" s="21"/>
    </row>
    <row r="83" spans="1:4" ht="20.25" x14ac:dyDescent="0.25">
      <c r="A83" s="90"/>
      <c r="B83" s="15"/>
      <c r="C83" s="21"/>
      <c r="D83" s="21"/>
    </row>
    <row r="84" spans="1:4" ht="20.25" x14ac:dyDescent="0.25">
      <c r="A84" s="90"/>
      <c r="B84" s="15"/>
      <c r="C84" s="21"/>
      <c r="D84" s="21"/>
    </row>
    <row r="85" spans="1:4" ht="20.25" x14ac:dyDescent="0.25">
      <c r="A85" s="90"/>
      <c r="B85" s="15"/>
      <c r="C85" s="21"/>
      <c r="D85" s="21"/>
    </row>
    <row r="86" spans="1:4" ht="20.25" x14ac:dyDescent="0.25">
      <c r="A86" s="90"/>
      <c r="B86" s="15"/>
      <c r="C86" s="21"/>
      <c r="D86" s="21"/>
    </row>
    <row r="87" spans="1:4" ht="20.25" x14ac:dyDescent="0.25">
      <c r="A87" s="90"/>
      <c r="B87" s="15"/>
      <c r="C87" s="21"/>
      <c r="D87" s="21"/>
    </row>
    <row r="88" spans="1:4" ht="20.25" x14ac:dyDescent="0.25">
      <c r="A88" s="90"/>
      <c r="B88" s="15"/>
      <c r="C88" s="21"/>
      <c r="D88" s="21"/>
    </row>
    <row r="89" spans="1:4" ht="20.25" x14ac:dyDescent="0.25">
      <c r="A89" s="90"/>
      <c r="B89" s="15"/>
      <c r="C89" s="21"/>
      <c r="D89" s="21"/>
    </row>
    <row r="90" spans="1:4" ht="20.25" x14ac:dyDescent="0.25">
      <c r="A90" s="90"/>
      <c r="B90" s="15"/>
      <c r="C90" s="21"/>
      <c r="D90" s="21"/>
    </row>
    <row r="91" spans="1:4" ht="20.25" x14ac:dyDescent="0.25">
      <c r="A91" s="90"/>
      <c r="B91" s="15"/>
      <c r="C91" s="21"/>
      <c r="D91" s="21"/>
    </row>
    <row r="92" spans="1:4" ht="20.25" x14ac:dyDescent="0.25">
      <c r="A92" s="90"/>
      <c r="B92" s="15"/>
      <c r="C92" s="21"/>
      <c r="D92" s="21"/>
    </row>
    <row r="93" spans="1:4" ht="20.25" x14ac:dyDescent="0.25">
      <c r="A93" s="90"/>
      <c r="B93" s="15"/>
      <c r="C93" s="21"/>
      <c r="D93" s="21"/>
    </row>
    <row r="94" spans="1:4" ht="20.25" x14ac:dyDescent="0.25">
      <c r="A94" s="90"/>
      <c r="B94" s="15"/>
      <c r="C94" s="21"/>
      <c r="D94" s="21"/>
    </row>
    <row r="95" spans="1:4" ht="20.25" x14ac:dyDescent="0.25">
      <c r="A95" s="90"/>
      <c r="B95" s="15"/>
      <c r="C95" s="21"/>
      <c r="D95" s="21"/>
    </row>
    <row r="96" spans="1:4" ht="20.25" x14ac:dyDescent="0.25">
      <c r="A96" s="90"/>
      <c r="B96" s="15"/>
      <c r="C96" s="21"/>
      <c r="D96" s="21"/>
    </row>
    <row r="97" spans="1:4" ht="20.25" x14ac:dyDescent="0.25">
      <c r="A97" s="90"/>
      <c r="B97" s="15"/>
      <c r="C97" s="21"/>
      <c r="D97" s="21"/>
    </row>
    <row r="98" spans="1:4" ht="20.25" x14ac:dyDescent="0.25">
      <c r="A98" s="90"/>
      <c r="B98" s="15"/>
      <c r="C98" s="21"/>
      <c r="D98" s="21"/>
    </row>
    <row r="99" spans="1:4" ht="20.25" x14ac:dyDescent="0.25">
      <c r="A99" s="90"/>
      <c r="B99" s="15"/>
      <c r="C99" s="21"/>
      <c r="D99" s="21"/>
    </row>
    <row r="100" spans="1:4" ht="20.25" x14ac:dyDescent="0.25">
      <c r="A100" s="90"/>
      <c r="B100" s="15"/>
      <c r="C100" s="21"/>
      <c r="D100" s="21"/>
    </row>
    <row r="101" spans="1:4" ht="20.25" x14ac:dyDescent="0.25">
      <c r="A101" s="90"/>
      <c r="B101" s="15"/>
      <c r="C101" s="21"/>
      <c r="D101" s="21"/>
    </row>
    <row r="102" spans="1:4" ht="20.25" x14ac:dyDescent="0.25">
      <c r="A102" s="90"/>
      <c r="B102" s="15"/>
      <c r="C102" s="21"/>
      <c r="D102" s="21"/>
    </row>
    <row r="103" spans="1:4" ht="20.25" x14ac:dyDescent="0.25">
      <c r="A103" s="90"/>
      <c r="B103" s="15"/>
      <c r="C103" s="21"/>
      <c r="D103" s="21"/>
    </row>
    <row r="104" spans="1:4" ht="20.25" x14ac:dyDescent="0.25">
      <c r="A104" s="90"/>
      <c r="B104" s="15"/>
      <c r="C104" s="21"/>
      <c r="D104" s="21"/>
    </row>
    <row r="105" spans="1:4" ht="20.25" x14ac:dyDescent="0.25">
      <c r="A105" s="90"/>
      <c r="B105" s="15"/>
      <c r="C105" s="21"/>
      <c r="D105" s="21"/>
    </row>
    <row r="106" spans="1:4" ht="20.25" x14ac:dyDescent="0.25">
      <c r="A106" s="90"/>
      <c r="B106" s="15"/>
      <c r="C106" s="21"/>
      <c r="D106" s="21"/>
    </row>
    <row r="107" spans="1:4" ht="20.25" x14ac:dyDescent="0.25">
      <c r="A107" s="90"/>
      <c r="B107" s="15"/>
      <c r="C107" s="21"/>
      <c r="D107" s="21"/>
    </row>
    <row r="108" spans="1:4" ht="20.25" x14ac:dyDescent="0.25">
      <c r="A108" s="90"/>
      <c r="B108" s="15"/>
      <c r="C108" s="21"/>
      <c r="D108" s="21"/>
    </row>
    <row r="109" spans="1:4" ht="20.25" x14ac:dyDescent="0.25">
      <c r="A109" s="90"/>
      <c r="B109" s="15"/>
      <c r="C109" s="21"/>
      <c r="D109" s="21"/>
    </row>
    <row r="110" spans="1:4" ht="20.25" x14ac:dyDescent="0.25">
      <c r="A110" s="90"/>
      <c r="B110" s="15"/>
      <c r="C110" s="21"/>
      <c r="D110" s="21"/>
    </row>
    <row r="111" spans="1:4" ht="20.25" x14ac:dyDescent="0.25">
      <c r="A111" s="90"/>
      <c r="B111" s="15"/>
      <c r="C111" s="21"/>
      <c r="D111" s="21"/>
    </row>
    <row r="112" spans="1:4" ht="20.25" x14ac:dyDescent="0.25">
      <c r="A112" s="90"/>
      <c r="B112" s="15"/>
      <c r="C112" s="21"/>
      <c r="D112" s="21"/>
    </row>
    <row r="113" spans="1:4" ht="20.25" x14ac:dyDescent="0.25">
      <c r="A113" s="90"/>
      <c r="B113" s="15"/>
      <c r="C113" s="21"/>
      <c r="D113" s="21"/>
    </row>
    <row r="114" spans="1:4" ht="20.25" x14ac:dyDescent="0.25">
      <c r="A114" s="90"/>
      <c r="B114" s="15"/>
      <c r="C114" s="21"/>
      <c r="D114" s="21"/>
    </row>
    <row r="115" spans="1:4" ht="20.25" x14ac:dyDescent="0.25">
      <c r="A115" s="90"/>
      <c r="B115" s="15"/>
      <c r="C115" s="21"/>
      <c r="D115" s="21"/>
    </row>
    <row r="116" spans="1:4" ht="20.25" x14ac:dyDescent="0.25">
      <c r="A116" s="90"/>
      <c r="B116" s="15"/>
      <c r="C116" s="21"/>
      <c r="D116" s="21"/>
    </row>
    <row r="117" spans="1:4" ht="20.25" x14ac:dyDescent="0.25">
      <c r="A117" s="90"/>
      <c r="B117" s="15"/>
      <c r="C117" s="21"/>
      <c r="D117" s="21"/>
    </row>
    <row r="118" spans="1:4" ht="20.25" x14ac:dyDescent="0.25">
      <c r="A118" s="90"/>
      <c r="B118" s="15"/>
      <c r="C118" s="21"/>
      <c r="D118" s="21"/>
    </row>
    <row r="119" spans="1:4" ht="20.25" x14ac:dyDescent="0.25">
      <c r="A119" s="90"/>
      <c r="B119" s="15"/>
      <c r="C119" s="21"/>
      <c r="D119" s="21"/>
    </row>
    <row r="120" spans="1:4" ht="20.25" x14ac:dyDescent="0.25">
      <c r="A120" s="90"/>
      <c r="B120" s="15"/>
      <c r="C120" s="21"/>
      <c r="D120" s="21"/>
    </row>
    <row r="121" spans="1:4" ht="20.25" x14ac:dyDescent="0.25">
      <c r="A121" s="90"/>
      <c r="B121" s="15"/>
      <c r="C121" s="21"/>
      <c r="D121" s="21"/>
    </row>
    <row r="122" spans="1:4" ht="20.25" x14ac:dyDescent="0.25">
      <c r="A122" s="90"/>
      <c r="B122" s="15"/>
      <c r="C122" s="21"/>
      <c r="D122" s="21"/>
    </row>
    <row r="123" spans="1:4" ht="20.25" x14ac:dyDescent="0.25">
      <c r="A123" s="90"/>
      <c r="B123" s="15"/>
      <c r="C123" s="21"/>
      <c r="D123" s="21"/>
    </row>
    <row r="124" spans="1:4" ht="20.25" x14ac:dyDescent="0.25">
      <c r="A124" s="90"/>
      <c r="B124" s="15"/>
      <c r="C124" s="21"/>
      <c r="D124" s="21"/>
    </row>
    <row r="125" spans="1:4" ht="20.25" x14ac:dyDescent="0.25">
      <c r="A125" s="90"/>
      <c r="B125" s="15"/>
      <c r="C125" s="21"/>
      <c r="D125" s="21"/>
    </row>
    <row r="126" spans="1:4" ht="20.25" x14ac:dyDescent="0.25">
      <c r="A126" s="90"/>
      <c r="B126" s="15"/>
      <c r="C126" s="21"/>
      <c r="D126" s="21"/>
    </row>
    <row r="127" spans="1:4" ht="20.25" x14ac:dyDescent="0.25">
      <c r="A127" s="90"/>
      <c r="B127" s="15"/>
      <c r="C127" s="21"/>
      <c r="D127" s="21"/>
    </row>
    <row r="128" spans="1:4" ht="20.25" x14ac:dyDescent="0.25">
      <c r="A128" s="90"/>
      <c r="B128" s="15"/>
      <c r="C128" s="21"/>
      <c r="D128" s="21"/>
    </row>
    <row r="129" spans="1:4" ht="20.25" x14ac:dyDescent="0.25">
      <c r="A129" s="90"/>
      <c r="B129" s="15"/>
      <c r="C129" s="21"/>
      <c r="D129" s="21"/>
    </row>
    <row r="130" spans="1:4" ht="20.25" x14ac:dyDescent="0.25">
      <c r="A130" s="90"/>
      <c r="B130" s="15"/>
      <c r="C130" s="21"/>
      <c r="D130" s="21"/>
    </row>
    <row r="131" spans="1:4" ht="20.25" x14ac:dyDescent="0.25">
      <c r="A131" s="90"/>
      <c r="B131" s="15"/>
      <c r="C131" s="21"/>
      <c r="D131" s="21"/>
    </row>
    <row r="132" spans="1:4" ht="20.25" x14ac:dyDescent="0.25">
      <c r="A132" s="90"/>
      <c r="B132" s="15"/>
      <c r="C132" s="21"/>
      <c r="D132" s="21"/>
    </row>
    <row r="133" spans="1:4" ht="20.25" x14ac:dyDescent="0.25">
      <c r="A133" s="90"/>
      <c r="B133" s="15"/>
      <c r="C133" s="21"/>
      <c r="D133" s="21"/>
    </row>
    <row r="134" spans="1:4" ht="20.25" x14ac:dyDescent="0.25">
      <c r="A134" s="90"/>
      <c r="B134" s="15"/>
      <c r="C134" s="21"/>
      <c r="D134" s="21"/>
    </row>
    <row r="135" spans="1:4" ht="20.25" x14ac:dyDescent="0.25">
      <c r="A135" s="90"/>
      <c r="B135" s="15"/>
      <c r="C135" s="21"/>
      <c r="D135" s="21"/>
    </row>
    <row r="136" spans="1:4" ht="20.25" x14ac:dyDescent="0.25">
      <c r="A136" s="90"/>
      <c r="B136" s="15"/>
      <c r="C136" s="21"/>
      <c r="D136" s="21"/>
    </row>
    <row r="137" spans="1:4" ht="20.25" x14ac:dyDescent="0.25">
      <c r="A137" s="90"/>
      <c r="B137" s="15"/>
      <c r="C137" s="21"/>
      <c r="D137" s="21"/>
    </row>
    <row r="138" spans="1:4" ht="20.25" x14ac:dyDescent="0.25">
      <c r="A138" s="90"/>
      <c r="B138" s="15"/>
      <c r="C138" s="21"/>
      <c r="D138" s="21"/>
    </row>
    <row r="139" spans="1:4" ht="20.25" x14ac:dyDescent="0.25">
      <c r="A139" s="90"/>
      <c r="B139" s="15"/>
      <c r="C139" s="21"/>
      <c r="D139" s="21"/>
    </row>
    <row r="140" spans="1:4" ht="20.25" x14ac:dyDescent="0.25">
      <c r="A140" s="90"/>
      <c r="B140" s="15"/>
      <c r="C140" s="21"/>
      <c r="D140" s="21"/>
    </row>
    <row r="141" spans="1:4" ht="20.25" x14ac:dyDescent="0.25">
      <c r="A141" s="90"/>
      <c r="B141" s="15"/>
      <c r="C141" s="21"/>
      <c r="D141" s="21"/>
    </row>
    <row r="142" spans="1:4" ht="20.25" x14ac:dyDescent="0.25">
      <c r="A142" s="90"/>
      <c r="B142" s="15"/>
      <c r="C142" s="21"/>
      <c r="D142" s="21"/>
    </row>
    <row r="143" spans="1:4" ht="20.25" x14ac:dyDescent="0.25">
      <c r="A143" s="90"/>
      <c r="B143" s="15"/>
      <c r="C143" s="21"/>
      <c r="D143" s="21"/>
    </row>
    <row r="144" spans="1:4" ht="20.25" x14ac:dyDescent="0.25">
      <c r="A144" s="90"/>
      <c r="B144" s="15"/>
      <c r="C144" s="21"/>
      <c r="D144" s="21"/>
    </row>
    <row r="145" spans="1:4" ht="20.25" x14ac:dyDescent="0.25">
      <c r="A145" s="90"/>
      <c r="B145" s="15"/>
      <c r="C145" s="21"/>
      <c r="D145" s="21"/>
    </row>
    <row r="146" spans="1:4" ht="20.25" x14ac:dyDescent="0.25">
      <c r="A146" s="90"/>
      <c r="B146" s="15"/>
      <c r="C146" s="21"/>
      <c r="D146" s="21"/>
    </row>
    <row r="147" spans="1:4" ht="20.25" x14ac:dyDescent="0.25">
      <c r="A147" s="90"/>
      <c r="B147" s="15"/>
      <c r="C147" s="21"/>
      <c r="D147" s="21"/>
    </row>
    <row r="148" spans="1:4" ht="20.25" x14ac:dyDescent="0.25">
      <c r="A148" s="90"/>
      <c r="B148" s="15"/>
      <c r="C148" s="21"/>
      <c r="D148" s="21"/>
    </row>
    <row r="149" spans="1:4" ht="20.25" x14ac:dyDescent="0.25">
      <c r="A149" s="90"/>
      <c r="B149" s="15"/>
      <c r="C149" s="21"/>
      <c r="D149" s="21"/>
    </row>
    <row r="150" spans="1:4" ht="20.25" x14ac:dyDescent="0.25">
      <c r="A150" s="90"/>
      <c r="B150" s="15"/>
      <c r="C150" s="21"/>
      <c r="D150" s="21"/>
    </row>
    <row r="151" spans="1:4" ht="20.25" x14ac:dyDescent="0.25">
      <c r="A151" s="90"/>
      <c r="B151" s="15"/>
      <c r="C151" s="21"/>
      <c r="D151" s="21"/>
    </row>
    <row r="152" spans="1:4" ht="20.25" x14ac:dyDescent="0.25">
      <c r="A152" s="90"/>
      <c r="B152" s="15"/>
      <c r="C152" s="21"/>
      <c r="D152" s="21"/>
    </row>
    <row r="153" spans="1:4" ht="20.25" x14ac:dyDescent="0.25">
      <c r="A153" s="90"/>
      <c r="B153" s="15"/>
      <c r="C153" s="21"/>
      <c r="D153" s="21"/>
    </row>
    <row r="154" spans="1:4" ht="20.25" x14ac:dyDescent="0.25">
      <c r="A154" s="90"/>
      <c r="B154" s="15"/>
      <c r="C154" s="21"/>
      <c r="D154" s="21"/>
    </row>
    <row r="155" spans="1:4" ht="20.25" x14ac:dyDescent="0.25">
      <c r="A155" s="90"/>
      <c r="B155" s="15"/>
      <c r="C155" s="21"/>
      <c r="D155" s="21"/>
    </row>
    <row r="156" spans="1:4" ht="20.25" x14ac:dyDescent="0.25">
      <c r="A156" s="90"/>
      <c r="B156" s="15"/>
      <c r="C156" s="21"/>
      <c r="D156" s="21"/>
    </row>
    <row r="157" spans="1:4" ht="20.25" x14ac:dyDescent="0.25">
      <c r="A157" s="90"/>
      <c r="B157" s="15"/>
      <c r="C157" s="21"/>
      <c r="D157" s="21"/>
    </row>
    <row r="158" spans="1:4" ht="20.25" x14ac:dyDescent="0.25">
      <c r="A158" s="90"/>
      <c r="B158" s="15"/>
      <c r="C158" s="21"/>
      <c r="D158" s="21"/>
    </row>
    <row r="159" spans="1:4" ht="20.25" x14ac:dyDescent="0.25">
      <c r="A159" s="90"/>
      <c r="B159" s="15"/>
      <c r="C159" s="21"/>
      <c r="D159" s="21"/>
    </row>
    <row r="160" spans="1:4" ht="20.25" x14ac:dyDescent="0.25">
      <c r="A160" s="90"/>
      <c r="B160" s="15"/>
      <c r="C160" s="21"/>
      <c r="D160" s="21"/>
    </row>
    <row r="161" spans="1:4" ht="20.25" x14ac:dyDescent="0.25">
      <c r="A161" s="90"/>
      <c r="B161" s="15"/>
      <c r="C161" s="21"/>
      <c r="D161" s="21"/>
    </row>
    <row r="162" spans="1:4" ht="20.25" x14ac:dyDescent="0.25">
      <c r="A162" s="90"/>
      <c r="B162" s="15"/>
      <c r="C162" s="21"/>
      <c r="D162" s="21"/>
    </row>
    <row r="163" spans="1:4" ht="20.25" x14ac:dyDescent="0.25">
      <c r="A163" s="90"/>
      <c r="B163" s="15"/>
      <c r="C163" s="21"/>
      <c r="D163" s="21"/>
    </row>
    <row r="164" spans="1:4" ht="20.25" x14ac:dyDescent="0.25">
      <c r="A164" s="90"/>
      <c r="B164" s="15"/>
      <c r="C164" s="21"/>
      <c r="D164" s="21"/>
    </row>
    <row r="165" spans="1:4" ht="20.25" x14ac:dyDescent="0.25">
      <c r="A165" s="90"/>
      <c r="B165" s="15"/>
      <c r="C165" s="21"/>
      <c r="D165" s="21"/>
    </row>
    <row r="166" spans="1:4" ht="20.25" x14ac:dyDescent="0.25">
      <c r="A166" s="90"/>
      <c r="B166" s="15"/>
      <c r="C166" s="21"/>
      <c r="D166" s="21"/>
    </row>
    <row r="167" spans="1:4" ht="20.25" x14ac:dyDescent="0.25">
      <c r="A167" s="90"/>
      <c r="B167" s="15"/>
      <c r="C167" s="21"/>
      <c r="D167" s="21"/>
    </row>
    <row r="168" spans="1:4" ht="20.25" x14ac:dyDescent="0.25">
      <c r="A168" s="90"/>
      <c r="B168" s="15"/>
      <c r="C168" s="21"/>
      <c r="D168" s="21"/>
    </row>
    <row r="169" spans="1:4" ht="20.25" x14ac:dyDescent="0.25">
      <c r="A169" s="90"/>
      <c r="B169" s="15"/>
      <c r="C169" s="21"/>
      <c r="D169" s="21"/>
    </row>
    <row r="170" spans="1:4" ht="20.25" x14ac:dyDescent="0.25">
      <c r="A170" s="90"/>
      <c r="B170" s="15"/>
      <c r="C170" s="21"/>
      <c r="D170" s="21"/>
    </row>
    <row r="171" spans="1:4" ht="20.25" x14ac:dyDescent="0.25">
      <c r="A171" s="90"/>
      <c r="B171" s="15"/>
      <c r="C171" s="21"/>
      <c r="D171" s="21"/>
    </row>
    <row r="172" spans="1:4" ht="20.25" x14ac:dyDescent="0.25">
      <c r="A172" s="90"/>
      <c r="B172" s="15"/>
      <c r="C172" s="21"/>
      <c r="D172" s="21"/>
    </row>
    <row r="173" spans="1:4" ht="20.25" x14ac:dyDescent="0.25">
      <c r="A173" s="90"/>
      <c r="B173" s="15"/>
      <c r="C173" s="21"/>
      <c r="D173" s="21"/>
    </row>
    <row r="174" spans="1:4" ht="20.25" x14ac:dyDescent="0.25">
      <c r="A174" s="90"/>
      <c r="B174" s="15"/>
      <c r="C174" s="21"/>
      <c r="D174" s="21"/>
    </row>
    <row r="175" spans="1:4" ht="20.25" x14ac:dyDescent="0.25">
      <c r="A175" s="90"/>
      <c r="B175" s="15"/>
      <c r="C175" s="21"/>
      <c r="D175" s="21"/>
    </row>
    <row r="176" spans="1:4" ht="20.25" x14ac:dyDescent="0.25">
      <c r="A176" s="90"/>
      <c r="B176" s="15"/>
      <c r="C176" s="21"/>
      <c r="D176" s="21"/>
    </row>
    <row r="177" spans="1:4" ht="20.25" x14ac:dyDescent="0.25">
      <c r="A177" s="90"/>
      <c r="B177" s="15"/>
      <c r="C177" s="21"/>
      <c r="D177" s="21"/>
    </row>
    <row r="178" spans="1:4" ht="20.25" x14ac:dyDescent="0.25">
      <c r="A178" s="90"/>
      <c r="B178" s="15"/>
      <c r="C178" s="21"/>
      <c r="D178" s="21"/>
    </row>
    <row r="179" spans="1:4" ht="20.25" x14ac:dyDescent="0.25">
      <c r="A179" s="90"/>
      <c r="B179" s="15"/>
      <c r="C179" s="21"/>
      <c r="D179" s="21"/>
    </row>
    <row r="180" spans="1:4" ht="20.25" x14ac:dyDescent="0.25">
      <c r="A180" s="90"/>
      <c r="B180" s="15"/>
      <c r="C180" s="21"/>
      <c r="D180" s="21"/>
    </row>
    <row r="181" spans="1:4" ht="20.25" x14ac:dyDescent="0.25">
      <c r="A181" s="90"/>
      <c r="B181" s="15"/>
      <c r="C181" s="21"/>
      <c r="D181" s="21"/>
    </row>
    <row r="182" spans="1:4" ht="20.25" x14ac:dyDescent="0.25">
      <c r="A182" s="90"/>
      <c r="B182" s="15"/>
      <c r="C182" s="21"/>
      <c r="D182" s="21"/>
    </row>
    <row r="183" spans="1:4" ht="20.25" x14ac:dyDescent="0.25">
      <c r="A183" s="90"/>
      <c r="B183" s="15"/>
      <c r="C183" s="21"/>
      <c r="D183" s="21"/>
    </row>
    <row r="184" spans="1:4" ht="20.25" x14ac:dyDescent="0.25">
      <c r="A184" s="90"/>
      <c r="B184" s="15"/>
      <c r="C184" s="21"/>
      <c r="D184" s="21"/>
    </row>
    <row r="185" spans="1:4" ht="20.25" x14ac:dyDescent="0.25">
      <c r="A185" s="90"/>
      <c r="B185" s="15"/>
      <c r="C185" s="21"/>
      <c r="D185" s="21"/>
    </row>
    <row r="186" spans="1:4" ht="20.25" x14ac:dyDescent="0.25">
      <c r="A186" s="90"/>
      <c r="B186" s="15"/>
      <c r="C186" s="21"/>
      <c r="D186" s="21"/>
    </row>
    <row r="187" spans="1:4" ht="20.25" x14ac:dyDescent="0.25">
      <c r="A187" s="90"/>
      <c r="B187" s="15"/>
      <c r="C187" s="21"/>
      <c r="D187" s="21"/>
    </row>
    <row r="188" spans="1:4" ht="20.25" x14ac:dyDescent="0.25">
      <c r="A188" s="90"/>
      <c r="B188" s="15"/>
      <c r="C188" s="21"/>
      <c r="D188" s="21"/>
    </row>
    <row r="189" spans="1:4" ht="20.25" x14ac:dyDescent="0.25">
      <c r="A189" s="90"/>
      <c r="B189" s="15"/>
      <c r="C189" s="21"/>
      <c r="D189" s="21"/>
    </row>
    <row r="190" spans="1:4" ht="20.25" x14ac:dyDescent="0.25">
      <c r="A190" s="90"/>
      <c r="B190" s="15"/>
      <c r="C190" s="21"/>
      <c r="D190" s="21"/>
    </row>
    <row r="191" spans="1:4" ht="20.25" x14ac:dyDescent="0.25">
      <c r="A191" s="90"/>
      <c r="B191" s="15"/>
      <c r="C191" s="21"/>
      <c r="D191" s="21"/>
    </row>
    <row r="192" spans="1:4" ht="20.25" x14ac:dyDescent="0.25">
      <c r="A192" s="90"/>
      <c r="B192" s="15"/>
      <c r="C192" s="21"/>
      <c r="D192" s="21"/>
    </row>
    <row r="193" spans="1:4" ht="20.25" x14ac:dyDescent="0.25">
      <c r="A193" s="90"/>
      <c r="B193" s="15"/>
      <c r="C193" s="21"/>
      <c r="D193" s="21"/>
    </row>
    <row r="194" spans="1:4" ht="20.25" x14ac:dyDescent="0.25">
      <c r="A194" s="90"/>
      <c r="B194" s="15"/>
      <c r="C194" s="21"/>
      <c r="D194" s="21"/>
    </row>
    <row r="195" spans="1:4" ht="20.25" x14ac:dyDescent="0.25">
      <c r="A195" s="90"/>
      <c r="B195" s="15"/>
      <c r="C195" s="21"/>
      <c r="D195" s="21"/>
    </row>
    <row r="196" spans="1:4" ht="20.25" x14ac:dyDescent="0.25">
      <c r="A196" s="90"/>
      <c r="B196" s="15"/>
      <c r="C196" s="21"/>
      <c r="D196" s="21"/>
    </row>
    <row r="197" spans="1:4" ht="20.25" x14ac:dyDescent="0.25">
      <c r="A197" s="90"/>
      <c r="B197" s="15"/>
      <c r="C197" s="21"/>
      <c r="D197" s="21"/>
    </row>
    <row r="198" spans="1:4" ht="20.25" x14ac:dyDescent="0.25">
      <c r="A198" s="90"/>
      <c r="B198" s="15"/>
      <c r="C198" s="21"/>
      <c r="D198" s="21"/>
    </row>
    <row r="199" spans="1:4" ht="20.25" x14ac:dyDescent="0.25">
      <c r="A199" s="90"/>
      <c r="B199" s="15"/>
      <c r="C199" s="21"/>
      <c r="D199" s="21"/>
    </row>
    <row r="200" spans="1:4" ht="20.25" x14ac:dyDescent="0.25">
      <c r="A200" s="90"/>
      <c r="B200" s="15"/>
      <c r="C200" s="21"/>
      <c r="D200" s="21"/>
    </row>
    <row r="201" spans="1:4" ht="20.25" x14ac:dyDescent="0.25">
      <c r="A201" s="90"/>
      <c r="B201" s="15"/>
      <c r="C201" s="21"/>
      <c r="D201" s="21"/>
    </row>
    <row r="202" spans="1:4" ht="20.25" x14ac:dyDescent="0.25">
      <c r="A202" s="90"/>
      <c r="B202" s="15"/>
      <c r="C202" s="21"/>
      <c r="D202" s="21"/>
    </row>
    <row r="203" spans="1:4" ht="20.25" x14ac:dyDescent="0.25">
      <c r="A203" s="90"/>
      <c r="B203" s="15"/>
      <c r="C203" s="21"/>
      <c r="D203" s="21"/>
    </row>
    <row r="204" spans="1:4" ht="20.25" x14ac:dyDescent="0.25">
      <c r="A204" s="90"/>
      <c r="B204" s="15"/>
      <c r="C204" s="21"/>
      <c r="D204" s="21"/>
    </row>
    <row r="205" spans="1:4" ht="20.25" x14ac:dyDescent="0.25">
      <c r="A205" s="90"/>
      <c r="B205" s="15"/>
      <c r="C205" s="21"/>
      <c r="D205" s="21"/>
    </row>
    <row r="206" spans="1:4" ht="20.25" x14ac:dyDescent="0.25">
      <c r="A206" s="90"/>
      <c r="B206" s="15"/>
      <c r="C206" s="21"/>
      <c r="D206" s="21"/>
    </row>
    <row r="207" spans="1:4" ht="20.25" x14ac:dyDescent="0.25">
      <c r="A207" s="90"/>
      <c r="B207" s="15"/>
      <c r="C207" s="21"/>
      <c r="D207" s="21"/>
    </row>
    <row r="208" spans="1:4" x14ac:dyDescent="0.25">
      <c r="A208" s="70"/>
      <c r="B208" s="15"/>
      <c r="C208" s="15"/>
      <c r="D208" s="15"/>
    </row>
    <row r="209" spans="1:8" ht="20.25" x14ac:dyDescent="0.25">
      <c r="A209" s="70"/>
      <c r="B209" s="17" t="s">
        <v>72</v>
      </c>
      <c r="C209" s="17" t="s">
        <v>111</v>
      </c>
      <c r="D209" s="20" t="s">
        <v>72</v>
      </c>
      <c r="E209" s="20" t="s">
        <v>111</v>
      </c>
    </row>
    <row r="210" spans="1:8" ht="21" x14ac:dyDescent="0.35">
      <c r="A210" s="70"/>
      <c r="B210" s="18" t="s">
        <v>74</v>
      </c>
      <c r="C210" s="18" t="s">
        <v>44</v>
      </c>
      <c r="D210" t="s">
        <v>74</v>
      </c>
      <c r="F210" t="str">
        <f>IF(NOT(ISBLANK(D210)),D210,IF(NOT(ISBLANK(E210)),"     "&amp;E210,FALSE))</f>
        <v>Afectación Económica o presupuestal</v>
      </c>
      <c r="G210" t="s">
        <v>74</v>
      </c>
      <c r="H210" t="str">
        <f>IF(NOT(ISERROR(MATCH(G210,_xlfn.ANCHORARRAY(B221),0))),F223&amp;"Por favor no seleccionar los criterios de impacto",G210)</f>
        <v>❌Por favor no seleccionar los criterios de impacto</v>
      </c>
    </row>
    <row r="211" spans="1:8" ht="21" x14ac:dyDescent="0.35">
      <c r="A211" s="70"/>
      <c r="B211" s="18" t="s">
        <v>74</v>
      </c>
      <c r="C211" s="18" t="s">
        <v>77</v>
      </c>
      <c r="E211" t="s">
        <v>44</v>
      </c>
      <c r="F211" t="str">
        <f t="shared" ref="F211:F221" si="0">IF(NOT(ISBLANK(D211)),D211,IF(NOT(ISBLANK(E211)),"     "&amp;E211,FALSE))</f>
        <v xml:space="preserve">     Afectación menor a 10 SMLMV .</v>
      </c>
    </row>
    <row r="212" spans="1:8" ht="21" x14ac:dyDescent="0.35">
      <c r="A212" s="70"/>
      <c r="B212" s="18" t="s">
        <v>74</v>
      </c>
      <c r="C212" s="18" t="s">
        <v>78</v>
      </c>
      <c r="E212" t="s">
        <v>77</v>
      </c>
      <c r="F212" t="str">
        <f t="shared" si="0"/>
        <v xml:space="preserve">     Entre 10 y 50 SMLMV </v>
      </c>
    </row>
    <row r="213" spans="1:8" ht="21" x14ac:dyDescent="0.35">
      <c r="A213" s="70"/>
      <c r="B213" s="18" t="s">
        <v>74</v>
      </c>
      <c r="C213" s="18" t="s">
        <v>79</v>
      </c>
      <c r="E213" t="s">
        <v>78</v>
      </c>
      <c r="F213" t="str">
        <f t="shared" si="0"/>
        <v xml:space="preserve">     Entre 50 y 100 SMLMV </v>
      </c>
    </row>
    <row r="214" spans="1:8" ht="21" x14ac:dyDescent="0.35">
      <c r="A214" s="70"/>
      <c r="B214" s="18" t="s">
        <v>74</v>
      </c>
      <c r="C214" s="18" t="s">
        <v>80</v>
      </c>
      <c r="E214" t="s">
        <v>79</v>
      </c>
      <c r="F214" t="str">
        <f t="shared" si="0"/>
        <v xml:space="preserve">     Entre 100 y 500 SMLMV </v>
      </c>
    </row>
    <row r="215" spans="1:8" ht="21" x14ac:dyDescent="0.35">
      <c r="A215" s="70"/>
      <c r="B215" s="18" t="s">
        <v>43</v>
      </c>
      <c r="C215" s="18" t="s">
        <v>81</v>
      </c>
      <c r="E215" t="s">
        <v>80</v>
      </c>
      <c r="F215" t="str">
        <f t="shared" si="0"/>
        <v xml:space="preserve">     Mayor a 500 SMLMV </v>
      </c>
    </row>
    <row r="216" spans="1:8" ht="21" x14ac:dyDescent="0.35">
      <c r="A216" s="70"/>
      <c r="B216" s="18" t="s">
        <v>43</v>
      </c>
      <c r="C216" s="18" t="s">
        <v>82</v>
      </c>
      <c r="D216" t="s">
        <v>43</v>
      </c>
      <c r="F216" t="str">
        <f t="shared" si="0"/>
        <v>Pérdida Reputacional</v>
      </c>
    </row>
    <row r="217" spans="1:8" ht="21" x14ac:dyDescent="0.35">
      <c r="A217" s="70"/>
      <c r="B217" s="18" t="s">
        <v>43</v>
      </c>
      <c r="C217" s="18" t="s">
        <v>84</v>
      </c>
      <c r="E217" t="s">
        <v>81</v>
      </c>
      <c r="F217" t="str">
        <f t="shared" si="0"/>
        <v xml:space="preserve">     El riesgo afecta la imagen de alguna área de la organización</v>
      </c>
    </row>
    <row r="218" spans="1:8" ht="21" x14ac:dyDescent="0.35">
      <c r="A218" s="70"/>
      <c r="B218" s="18" t="s">
        <v>43</v>
      </c>
      <c r="C218" s="18" t="s">
        <v>83</v>
      </c>
      <c r="E218" t="s">
        <v>82</v>
      </c>
      <c r="F218" t="str">
        <f t="shared" si="0"/>
        <v xml:space="preserve">     El riesgo afecta la imagen de la entidad internamente, de conocimiento general, nivel interno, de junta dircetiva y accionistas y/o de provedores</v>
      </c>
    </row>
    <row r="219" spans="1:8" ht="21" x14ac:dyDescent="0.35">
      <c r="A219" s="70"/>
      <c r="B219" s="18" t="s">
        <v>43</v>
      </c>
      <c r="C219" s="18" t="s">
        <v>102</v>
      </c>
      <c r="E219" t="s">
        <v>84</v>
      </c>
      <c r="F219" t="str">
        <f t="shared" si="0"/>
        <v xml:space="preserve">     El riesgo afecta la imagen de la entidad con algunos usuarios de relevancia frente al logro de los objetivos</v>
      </c>
    </row>
    <row r="220" spans="1:8" x14ac:dyDescent="0.25">
      <c r="A220" s="70"/>
      <c r="B220" s="19"/>
      <c r="C220" s="19"/>
      <c r="E220" t="s">
        <v>83</v>
      </c>
      <c r="F220" t="str">
        <f t="shared" si="0"/>
        <v xml:space="preserve">     El riesgo afecta la imagen de de la entidad con efecto publicitario sostenido a nivel de sector administrativo, nivel departamental o municipal</v>
      </c>
    </row>
    <row r="221" spans="1:8" x14ac:dyDescent="0.25">
      <c r="A221" s="70"/>
      <c r="B221" s="19" t="str" cm="1">
        <f t="array" ref="B221:B223">_xlfn.UNIQUE(Tabla1[[#All],[Criterios]])</f>
        <v>Criterios</v>
      </c>
      <c r="C221" s="19"/>
      <c r="E221" t="s">
        <v>102</v>
      </c>
      <c r="F221" t="str">
        <f t="shared" si="0"/>
        <v xml:space="preserve">     El riesgo afecta la imagen de la entidad a nivel nacional, con efecto publicitarios sostenible a nivel país</v>
      </c>
    </row>
    <row r="222" spans="1:8" x14ac:dyDescent="0.25">
      <c r="A222" s="70"/>
      <c r="B222" s="19" t="str">
        <v>Afectación Económica o presupuestal</v>
      </c>
      <c r="C222" s="19"/>
    </row>
    <row r="223" spans="1:8" x14ac:dyDescent="0.25">
      <c r="B223" s="19" t="str">
        <v>Pérdida Reputacional</v>
      </c>
      <c r="C223" s="19"/>
      <c r="F223" s="22" t="s">
        <v>113</v>
      </c>
    </row>
    <row r="224" spans="1:8" x14ac:dyDescent="0.25">
      <c r="B224" s="14"/>
      <c r="C224" s="14"/>
      <c r="F224" s="22" t="s">
        <v>114</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xr:uid="{00000000-0002-0000-1A00-000000000000}">
      <formula1>$F$210:$F$221</formula1>
    </dataValidation>
  </dataValidations>
  <pageMargins left="0.7" right="0.7" top="0.75" bottom="0.75" header="0.3" footer="0.3"/>
  <pageSetup orientation="portrait" r:id="rId2"/>
  <tableParts count="1">
    <tablePart r:id="rId3"/>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0000"/>
  </sheetPr>
  <dimension ref="B1:F16"/>
  <sheetViews>
    <sheetView zoomScale="70" zoomScaleNormal="70" workbookViewId="0">
      <selection activeCell="G9" sqref="G9"/>
    </sheetView>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735" t="s">
        <v>64</v>
      </c>
      <c r="C1" s="736"/>
      <c r="D1" s="736"/>
      <c r="E1" s="736"/>
      <c r="F1" s="737"/>
    </row>
    <row r="2" spans="2:6" ht="16.5" thickBot="1" x14ac:dyDescent="0.3">
      <c r="B2" s="76"/>
      <c r="C2" s="76"/>
      <c r="D2" s="76"/>
      <c r="E2" s="76"/>
      <c r="F2" s="76"/>
    </row>
    <row r="3" spans="2:6" ht="16.5" thickBot="1" x14ac:dyDescent="0.25">
      <c r="B3" s="739" t="s">
        <v>50</v>
      </c>
      <c r="C3" s="740"/>
      <c r="D3" s="740"/>
      <c r="E3" s="88" t="s">
        <v>51</v>
      </c>
      <c r="F3" s="89" t="s">
        <v>52</v>
      </c>
    </row>
    <row r="4" spans="2:6" ht="31.5" x14ac:dyDescent="0.2">
      <c r="B4" s="741" t="s">
        <v>53</v>
      </c>
      <c r="C4" s="743" t="s">
        <v>12</v>
      </c>
      <c r="D4" s="77" t="s">
        <v>13</v>
      </c>
      <c r="E4" s="78" t="s">
        <v>54</v>
      </c>
      <c r="F4" s="79">
        <v>0.25</v>
      </c>
    </row>
    <row r="5" spans="2:6" ht="47.25" x14ac:dyDescent="0.2">
      <c r="B5" s="742"/>
      <c r="C5" s="744"/>
      <c r="D5" s="80" t="s">
        <v>14</v>
      </c>
      <c r="E5" s="81" t="s">
        <v>55</v>
      </c>
      <c r="F5" s="82">
        <v>0.15</v>
      </c>
    </row>
    <row r="6" spans="2:6" ht="47.25" x14ac:dyDescent="0.2">
      <c r="B6" s="742"/>
      <c r="C6" s="744"/>
      <c r="D6" s="80" t="s">
        <v>15</v>
      </c>
      <c r="E6" s="81" t="s">
        <v>56</v>
      </c>
      <c r="F6" s="82">
        <v>0.1</v>
      </c>
    </row>
    <row r="7" spans="2:6" ht="63" x14ac:dyDescent="0.2">
      <c r="B7" s="742"/>
      <c r="C7" s="744" t="s">
        <v>16</v>
      </c>
      <c r="D7" s="80" t="s">
        <v>9</v>
      </c>
      <c r="E7" s="81" t="s">
        <v>57</v>
      </c>
      <c r="F7" s="82">
        <v>0.25</v>
      </c>
    </row>
    <row r="8" spans="2:6" ht="31.5" x14ac:dyDescent="0.2">
      <c r="B8" s="742"/>
      <c r="C8" s="744"/>
      <c r="D8" s="80" t="s">
        <v>8</v>
      </c>
      <c r="E8" s="81" t="s">
        <v>58</v>
      </c>
      <c r="F8" s="82">
        <v>0.15</v>
      </c>
    </row>
    <row r="9" spans="2:6" ht="47.25" x14ac:dyDescent="0.2">
      <c r="B9" s="742" t="s">
        <v>128</v>
      </c>
      <c r="C9" s="744" t="s">
        <v>17</v>
      </c>
      <c r="D9" s="80" t="s">
        <v>18</v>
      </c>
      <c r="E9" s="81" t="s">
        <v>59</v>
      </c>
      <c r="F9" s="83" t="s">
        <v>60</v>
      </c>
    </row>
    <row r="10" spans="2:6" ht="63" x14ac:dyDescent="0.2">
      <c r="B10" s="742"/>
      <c r="C10" s="744"/>
      <c r="D10" s="80" t="s">
        <v>19</v>
      </c>
      <c r="E10" s="81" t="s">
        <v>61</v>
      </c>
      <c r="F10" s="83" t="s">
        <v>60</v>
      </c>
    </row>
    <row r="11" spans="2:6" ht="47.25" x14ac:dyDescent="0.2">
      <c r="B11" s="742"/>
      <c r="C11" s="744" t="s">
        <v>20</v>
      </c>
      <c r="D11" s="80" t="s">
        <v>21</v>
      </c>
      <c r="E11" s="81" t="s">
        <v>62</v>
      </c>
      <c r="F11" s="83" t="s">
        <v>60</v>
      </c>
    </row>
    <row r="12" spans="2:6" ht="47.25" x14ac:dyDescent="0.2">
      <c r="B12" s="742"/>
      <c r="C12" s="744"/>
      <c r="D12" s="80" t="s">
        <v>22</v>
      </c>
      <c r="E12" s="81" t="s">
        <v>63</v>
      </c>
      <c r="F12" s="83" t="s">
        <v>60</v>
      </c>
    </row>
    <row r="13" spans="2:6" ht="31.5" x14ac:dyDescent="0.2">
      <c r="B13" s="742"/>
      <c r="C13" s="744" t="s">
        <v>23</v>
      </c>
      <c r="D13" s="80" t="s">
        <v>103</v>
      </c>
      <c r="E13" s="81" t="s">
        <v>106</v>
      </c>
      <c r="F13" s="83" t="s">
        <v>60</v>
      </c>
    </row>
    <row r="14" spans="2:6" ht="32.25" thickBot="1" x14ac:dyDescent="0.25">
      <c r="B14" s="745"/>
      <c r="C14" s="746"/>
      <c r="D14" s="84" t="s">
        <v>104</v>
      </c>
      <c r="E14" s="85" t="s">
        <v>105</v>
      </c>
      <c r="F14" s="86" t="s">
        <v>60</v>
      </c>
    </row>
    <row r="15" spans="2:6" ht="49.5" customHeight="1" x14ac:dyDescent="0.2">
      <c r="B15" s="738" t="s">
        <v>125</v>
      </c>
      <c r="C15" s="738"/>
      <c r="D15" s="738"/>
      <c r="E15" s="738"/>
      <c r="F15" s="738"/>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B2:O30"/>
  <sheetViews>
    <sheetView zoomScale="55" zoomScaleNormal="55" workbookViewId="0">
      <selection activeCell="L27" sqref="L27"/>
    </sheetView>
  </sheetViews>
  <sheetFormatPr baseColWidth="10" defaultColWidth="11.42578125" defaultRowHeight="16.5" x14ac:dyDescent="0.3"/>
  <cols>
    <col min="1" max="1" width="11.42578125" style="1"/>
    <col min="2" max="2" width="22.7109375" style="111" customWidth="1"/>
    <col min="3" max="6" width="11.42578125" style="111"/>
    <col min="7" max="7" width="93.5703125" style="111" customWidth="1"/>
    <col min="8" max="8" width="74.28515625" style="111" customWidth="1"/>
    <col min="9" max="15" width="11.42578125" style="111"/>
    <col min="16" max="16384" width="11.42578125" style="1"/>
  </cols>
  <sheetData>
    <row r="2" spans="2:8" x14ac:dyDescent="0.3">
      <c r="B2" s="111" t="s">
        <v>26</v>
      </c>
      <c r="E2" s="111" t="s">
        <v>108</v>
      </c>
    </row>
    <row r="3" spans="2:8" x14ac:dyDescent="0.3">
      <c r="B3" s="111" t="s">
        <v>27</v>
      </c>
      <c r="E3" s="111" t="s">
        <v>107</v>
      </c>
    </row>
    <row r="4" spans="2:8" x14ac:dyDescent="0.3">
      <c r="B4" s="111" t="s">
        <v>28</v>
      </c>
      <c r="E4" s="111" t="s">
        <v>109</v>
      </c>
    </row>
    <row r="9" spans="2:8" x14ac:dyDescent="0.3">
      <c r="B9" s="111" t="s">
        <v>30</v>
      </c>
      <c r="E9" s="111" t="s">
        <v>292</v>
      </c>
    </row>
    <row r="10" spans="2:8" x14ac:dyDescent="0.3">
      <c r="B10" s="111" t="s">
        <v>31</v>
      </c>
      <c r="E10" s="111" t="s">
        <v>293</v>
      </c>
    </row>
    <row r="14" spans="2:8" x14ac:dyDescent="0.3">
      <c r="B14" s="111" t="s">
        <v>257</v>
      </c>
      <c r="G14" s="225" t="s">
        <v>653</v>
      </c>
      <c r="H14" s="225" t="s">
        <v>630</v>
      </c>
    </row>
    <row r="15" spans="2:8" ht="25.5" x14ac:dyDescent="0.3">
      <c r="B15" s="229" t="s">
        <v>654</v>
      </c>
      <c r="G15" s="227" t="s">
        <v>108</v>
      </c>
      <c r="H15" s="222" t="s">
        <v>632</v>
      </c>
    </row>
    <row r="16" spans="2:8" x14ac:dyDescent="0.3">
      <c r="B16" s="229" t="s">
        <v>655</v>
      </c>
      <c r="G16" s="227" t="s">
        <v>626</v>
      </c>
      <c r="H16" s="222" t="s">
        <v>638</v>
      </c>
    </row>
    <row r="17" spans="2:8" x14ac:dyDescent="0.3">
      <c r="B17" s="230" t="s">
        <v>233</v>
      </c>
      <c r="G17" s="227" t="s">
        <v>633</v>
      </c>
      <c r="H17" s="222" t="s">
        <v>639</v>
      </c>
    </row>
    <row r="18" spans="2:8" x14ac:dyDescent="0.3">
      <c r="B18" s="230" t="s">
        <v>656</v>
      </c>
      <c r="G18" s="227" t="s">
        <v>627</v>
      </c>
      <c r="H18" s="222" t="s">
        <v>640</v>
      </c>
    </row>
    <row r="19" spans="2:8" ht="25.5" x14ac:dyDescent="0.3">
      <c r="B19" s="230" t="s">
        <v>657</v>
      </c>
      <c r="G19" s="227" t="s">
        <v>644</v>
      </c>
      <c r="H19" s="222" t="s">
        <v>641</v>
      </c>
    </row>
    <row r="20" spans="2:8" ht="25.5" x14ac:dyDescent="0.3">
      <c r="B20" s="230" t="s">
        <v>658</v>
      </c>
      <c r="G20" s="227" t="s">
        <v>628</v>
      </c>
      <c r="H20" s="223" t="s">
        <v>642</v>
      </c>
    </row>
    <row r="21" spans="2:8" x14ac:dyDescent="0.3">
      <c r="B21" s="230" t="s">
        <v>659</v>
      </c>
      <c r="G21" s="226" t="s">
        <v>661</v>
      </c>
      <c r="H21" s="223" t="s">
        <v>643</v>
      </c>
    </row>
    <row r="22" spans="2:8" x14ac:dyDescent="0.3">
      <c r="B22" s="230" t="s">
        <v>633</v>
      </c>
      <c r="G22" s="226" t="s">
        <v>629</v>
      </c>
      <c r="H22" s="225" t="s">
        <v>631</v>
      </c>
    </row>
    <row r="23" spans="2:8" ht="25.5" x14ac:dyDescent="0.3">
      <c r="B23" s="230" t="s">
        <v>327</v>
      </c>
      <c r="G23" s="226" t="s">
        <v>634</v>
      </c>
      <c r="H23" s="223" t="s">
        <v>645</v>
      </c>
    </row>
    <row r="24" spans="2:8" ht="25.5" x14ac:dyDescent="0.3">
      <c r="B24" s="230" t="s">
        <v>660</v>
      </c>
      <c r="G24" s="226" t="s">
        <v>635</v>
      </c>
      <c r="H24" s="223" t="s">
        <v>646</v>
      </c>
    </row>
    <row r="25" spans="2:8" ht="66.75" customHeight="1" x14ac:dyDescent="0.3">
      <c r="G25" s="226" t="s">
        <v>378</v>
      </c>
      <c r="H25" s="223" t="s">
        <v>647</v>
      </c>
    </row>
    <row r="26" spans="2:8" ht="38.25" x14ac:dyDescent="0.3">
      <c r="G26" s="226" t="s">
        <v>662</v>
      </c>
      <c r="H26" s="223" t="s">
        <v>648</v>
      </c>
    </row>
    <row r="27" spans="2:8" ht="25.5" x14ac:dyDescent="0.3">
      <c r="G27" s="228" t="s">
        <v>636</v>
      </c>
      <c r="H27" s="224" t="s">
        <v>649</v>
      </c>
    </row>
    <row r="28" spans="2:8" ht="25.5" x14ac:dyDescent="0.3">
      <c r="G28" s="228" t="s">
        <v>650</v>
      </c>
      <c r="H28" s="224" t="s">
        <v>651</v>
      </c>
    </row>
    <row r="29" spans="2:8" ht="25.5" x14ac:dyDescent="0.3">
      <c r="G29" s="228" t="s">
        <v>637</v>
      </c>
      <c r="H29" s="224" t="s">
        <v>652</v>
      </c>
    </row>
    <row r="30" spans="2:8" x14ac:dyDescent="0.3">
      <c r="G30" s="224"/>
      <c r="H30" s="111" t="s">
        <v>643</v>
      </c>
    </row>
  </sheetData>
  <sortState xmlns:xlrd2="http://schemas.microsoft.com/office/spreadsheetml/2017/richdata2" ref="B2:B5">
    <sortCondition ref="B2:B5"/>
  </sortState>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R260"/>
  <sheetViews>
    <sheetView zoomScale="70" zoomScaleNormal="70" workbookViewId="0">
      <selection activeCell="B20" sqref="B20"/>
    </sheetView>
  </sheetViews>
  <sheetFormatPr baseColWidth="10" defaultColWidth="11.5703125" defaultRowHeight="15" x14ac:dyDescent="0.25"/>
  <cols>
    <col min="1" max="1" width="13.140625" customWidth="1"/>
    <col min="2" max="2" width="26.7109375" customWidth="1"/>
    <col min="3" max="3" width="22.7109375" customWidth="1"/>
    <col min="5" max="5" width="16.85546875" customWidth="1"/>
    <col min="6" max="6" width="29.28515625" customWidth="1"/>
    <col min="7" max="7" width="33.5703125" customWidth="1"/>
    <col min="8" max="8" width="14.42578125" customWidth="1"/>
    <col min="14" max="14" width="12.7109375" customWidth="1"/>
  </cols>
  <sheetData>
    <row r="1" spans="1:18" s="133" customFormat="1" ht="43.5" customHeight="1" x14ac:dyDescent="0.25">
      <c r="A1" s="747" t="s">
        <v>183</v>
      </c>
      <c r="B1" s="747"/>
      <c r="C1" s="747"/>
      <c r="E1" s="747" t="s">
        <v>328</v>
      </c>
      <c r="F1" s="747"/>
      <c r="G1" s="747"/>
      <c r="J1" s="748" t="s">
        <v>329</v>
      </c>
      <c r="K1" s="748"/>
      <c r="L1" s="748"/>
      <c r="M1" s="748"/>
      <c r="N1" s="748"/>
      <c r="O1" s="748"/>
      <c r="P1" s="748"/>
    </row>
    <row r="2" spans="1:18" x14ac:dyDescent="0.25">
      <c r="A2" s="134"/>
      <c r="B2" s="135" t="s">
        <v>330</v>
      </c>
      <c r="C2" s="135" t="s">
        <v>183</v>
      </c>
      <c r="E2" s="134" t="s">
        <v>192</v>
      </c>
      <c r="F2" s="135" t="s">
        <v>331</v>
      </c>
      <c r="G2" s="135" t="s">
        <v>332</v>
      </c>
      <c r="L2" s="749"/>
      <c r="M2" s="749"/>
      <c r="N2" s="749"/>
      <c r="O2" s="749"/>
      <c r="P2" s="749"/>
    </row>
    <row r="3" spans="1:18" ht="60" x14ac:dyDescent="0.25">
      <c r="A3" s="136" t="s">
        <v>37</v>
      </c>
      <c r="B3" s="137" t="s">
        <v>333</v>
      </c>
      <c r="C3" s="138">
        <v>0.2</v>
      </c>
      <c r="E3" s="136" t="s">
        <v>334</v>
      </c>
      <c r="F3" s="137" t="s">
        <v>335</v>
      </c>
      <c r="G3" s="139" t="s">
        <v>336</v>
      </c>
      <c r="I3" s="750" t="s">
        <v>183</v>
      </c>
      <c r="J3" s="140" t="s">
        <v>337</v>
      </c>
      <c r="K3" s="141"/>
      <c r="L3" s="142" t="s">
        <v>338</v>
      </c>
      <c r="M3" s="142" t="s">
        <v>338</v>
      </c>
      <c r="N3" s="142" t="s">
        <v>338</v>
      </c>
      <c r="O3" s="142" t="s">
        <v>338</v>
      </c>
      <c r="P3" s="143" t="s">
        <v>339</v>
      </c>
      <c r="R3" s="144" t="s">
        <v>65</v>
      </c>
    </row>
    <row r="4" spans="1:18" ht="87.4" customHeight="1" x14ac:dyDescent="0.25">
      <c r="A4" s="145" t="s">
        <v>39</v>
      </c>
      <c r="B4" s="137" t="s">
        <v>340</v>
      </c>
      <c r="C4" s="138">
        <v>0.4</v>
      </c>
      <c r="E4" s="145" t="s">
        <v>70</v>
      </c>
      <c r="F4" s="137" t="s">
        <v>341</v>
      </c>
      <c r="G4" s="139" t="s">
        <v>342</v>
      </c>
      <c r="I4" s="750"/>
      <c r="J4" s="146" t="s">
        <v>343</v>
      </c>
      <c r="K4" s="134"/>
      <c r="L4" s="147" t="s">
        <v>344</v>
      </c>
      <c r="M4" s="147" t="s">
        <v>344</v>
      </c>
      <c r="N4" s="142" t="s">
        <v>338</v>
      </c>
      <c r="O4" s="142" t="s">
        <v>338</v>
      </c>
      <c r="P4" s="143" t="s">
        <v>339</v>
      </c>
      <c r="R4" s="148" t="s">
        <v>66</v>
      </c>
    </row>
    <row r="5" spans="1:18" ht="61.9" customHeight="1" x14ac:dyDescent="0.25">
      <c r="A5" s="149" t="s">
        <v>91</v>
      </c>
      <c r="B5" s="137" t="s">
        <v>345</v>
      </c>
      <c r="C5" s="138">
        <v>0.6</v>
      </c>
      <c r="E5" s="149" t="s">
        <v>67</v>
      </c>
      <c r="F5" s="137" t="s">
        <v>78</v>
      </c>
      <c r="G5" s="139" t="s">
        <v>346</v>
      </c>
      <c r="I5" s="750"/>
      <c r="J5" s="149" t="s">
        <v>347</v>
      </c>
      <c r="K5" s="134"/>
      <c r="L5" s="147" t="s">
        <v>344</v>
      </c>
      <c r="M5" s="147" t="s">
        <v>344</v>
      </c>
      <c r="N5" s="147" t="s">
        <v>344</v>
      </c>
      <c r="O5" s="142" t="s">
        <v>338</v>
      </c>
      <c r="P5" s="143" t="s">
        <v>339</v>
      </c>
      <c r="R5" s="150" t="s">
        <v>67</v>
      </c>
    </row>
    <row r="6" spans="1:18" ht="75" x14ac:dyDescent="0.25">
      <c r="A6" s="146" t="s">
        <v>5</v>
      </c>
      <c r="B6" s="137" t="s">
        <v>348</v>
      </c>
      <c r="C6" s="138">
        <v>0.8</v>
      </c>
      <c r="E6" s="146" t="s">
        <v>6</v>
      </c>
      <c r="F6" s="137" t="s">
        <v>349</v>
      </c>
      <c r="G6" s="139" t="s">
        <v>350</v>
      </c>
      <c r="I6" s="750"/>
      <c r="J6" s="145" t="s">
        <v>351</v>
      </c>
      <c r="K6" s="134"/>
      <c r="L6" s="151" t="s">
        <v>352</v>
      </c>
      <c r="M6" s="147" t="s">
        <v>344</v>
      </c>
      <c r="N6" s="147" t="s">
        <v>344</v>
      </c>
      <c r="O6" s="142" t="s">
        <v>338</v>
      </c>
      <c r="P6" s="143" t="s">
        <v>339</v>
      </c>
      <c r="R6" s="152" t="s">
        <v>68</v>
      </c>
    </row>
    <row r="7" spans="1:18" ht="55.5" customHeight="1" x14ac:dyDescent="0.25">
      <c r="A7" s="153" t="s">
        <v>40</v>
      </c>
      <c r="B7" s="137" t="s">
        <v>353</v>
      </c>
      <c r="C7" s="138">
        <v>1</v>
      </c>
      <c r="E7" s="153" t="s">
        <v>71</v>
      </c>
      <c r="F7" s="137" t="s">
        <v>354</v>
      </c>
      <c r="G7" s="139" t="s">
        <v>355</v>
      </c>
      <c r="I7" s="750"/>
      <c r="J7" s="154" t="s">
        <v>356</v>
      </c>
      <c r="K7" s="134"/>
      <c r="L7" s="151" t="s">
        <v>352</v>
      </c>
      <c r="M7" s="151" t="s">
        <v>352</v>
      </c>
      <c r="N7" s="147" t="s">
        <v>344</v>
      </c>
      <c r="O7" s="142" t="s">
        <v>338</v>
      </c>
      <c r="P7" s="143" t="s">
        <v>339</v>
      </c>
    </row>
    <row r="8" spans="1:18" ht="36" customHeight="1" x14ac:dyDescent="0.25">
      <c r="A8" s="155"/>
      <c r="B8" s="156"/>
      <c r="C8" s="157"/>
      <c r="E8" s="155"/>
      <c r="F8" s="156"/>
      <c r="G8" s="158"/>
      <c r="I8" s="127"/>
      <c r="J8" s="131"/>
      <c r="K8" s="131"/>
      <c r="L8" s="751"/>
      <c r="M8" s="752"/>
      <c r="N8" s="752"/>
      <c r="O8" s="752"/>
      <c r="P8" s="753"/>
    </row>
    <row r="9" spans="1:18" ht="30" x14ac:dyDescent="0.25">
      <c r="F9" s="156" t="s">
        <v>357</v>
      </c>
      <c r="L9" s="136" t="s">
        <v>85</v>
      </c>
      <c r="M9" s="145" t="s">
        <v>358</v>
      </c>
      <c r="N9" s="149" t="s">
        <v>46</v>
      </c>
      <c r="O9" s="146" t="s">
        <v>47</v>
      </c>
      <c r="P9" s="140" t="s">
        <v>48</v>
      </c>
    </row>
    <row r="10" spans="1:18" ht="14.65" customHeight="1" x14ac:dyDescent="0.25">
      <c r="D10" s="159" t="s">
        <v>52</v>
      </c>
      <c r="F10" s="156" t="s">
        <v>359</v>
      </c>
      <c r="L10" s="754" t="s">
        <v>328</v>
      </c>
      <c r="M10" s="754"/>
      <c r="N10" s="754"/>
      <c r="O10" s="754"/>
      <c r="P10" s="754"/>
    </row>
    <row r="11" spans="1:18" ht="14.65" customHeight="1" x14ac:dyDescent="0.25">
      <c r="A11" s="755" t="s">
        <v>360</v>
      </c>
      <c r="B11" s="756" t="s">
        <v>252</v>
      </c>
      <c r="C11" s="160" t="s">
        <v>13</v>
      </c>
      <c r="D11" s="161">
        <v>0.25</v>
      </c>
      <c r="F11" s="156" t="s">
        <v>361</v>
      </c>
      <c r="L11" s="754"/>
      <c r="M11" s="754"/>
      <c r="N11" s="754"/>
      <c r="O11" s="754"/>
      <c r="P11" s="754"/>
    </row>
    <row r="12" spans="1:18" x14ac:dyDescent="0.25">
      <c r="A12" s="755"/>
      <c r="B12" s="757"/>
      <c r="C12" s="160" t="s">
        <v>14</v>
      </c>
      <c r="D12" s="161">
        <v>0.15</v>
      </c>
      <c r="F12" s="156" t="s">
        <v>362</v>
      </c>
    </row>
    <row r="13" spans="1:18" x14ac:dyDescent="0.25">
      <c r="A13" s="755"/>
      <c r="B13" s="757"/>
      <c r="C13" s="160" t="s">
        <v>15</v>
      </c>
      <c r="D13" s="161">
        <v>0.1</v>
      </c>
      <c r="H13" s="162" t="s">
        <v>17</v>
      </c>
      <c r="I13" s="162" t="s">
        <v>20</v>
      </c>
      <c r="J13" s="162" t="s">
        <v>23</v>
      </c>
    </row>
    <row r="14" spans="1:18" x14ac:dyDescent="0.25">
      <c r="A14" s="755"/>
      <c r="B14" s="758" t="s">
        <v>363</v>
      </c>
      <c r="C14" s="160" t="s">
        <v>9</v>
      </c>
      <c r="D14" s="161">
        <v>0.25</v>
      </c>
      <c r="F14" s="163" t="s">
        <v>364</v>
      </c>
      <c r="H14" s="126" t="s">
        <v>18</v>
      </c>
      <c r="I14" s="126" t="s">
        <v>21</v>
      </c>
      <c r="J14" s="126" t="s">
        <v>365</v>
      </c>
    </row>
    <row r="15" spans="1:18" x14ac:dyDescent="0.25">
      <c r="A15" s="755"/>
      <c r="B15" s="758"/>
      <c r="C15" s="160" t="s">
        <v>8</v>
      </c>
      <c r="D15" s="161">
        <v>0.1</v>
      </c>
      <c r="F15" s="164" t="s">
        <v>366</v>
      </c>
      <c r="H15" s="126" t="s">
        <v>367</v>
      </c>
      <c r="I15" s="126" t="s">
        <v>22</v>
      </c>
      <c r="J15" s="126" t="s">
        <v>368</v>
      </c>
    </row>
    <row r="16" spans="1:18" x14ac:dyDescent="0.25">
      <c r="F16" s="164" t="s">
        <v>369</v>
      </c>
    </row>
    <row r="17" spans="1:6" x14ac:dyDescent="0.25">
      <c r="A17" s="755" t="s">
        <v>256</v>
      </c>
      <c r="B17" s="160" t="s">
        <v>370</v>
      </c>
      <c r="F17" s="164" t="s">
        <v>371</v>
      </c>
    </row>
    <row r="18" spans="1:6" x14ac:dyDescent="0.25">
      <c r="A18" s="755"/>
      <c r="B18" s="160" t="s">
        <v>27</v>
      </c>
      <c r="F18" s="164" t="s">
        <v>373</v>
      </c>
    </row>
    <row r="19" spans="1:6" x14ac:dyDescent="0.25">
      <c r="A19" s="755"/>
      <c r="B19" s="160" t="s">
        <v>372</v>
      </c>
      <c r="F19" s="164" t="s">
        <v>374</v>
      </c>
    </row>
    <row r="20" spans="1:6" x14ac:dyDescent="0.25">
      <c r="A20" s="755"/>
      <c r="B20" s="160" t="s">
        <v>28</v>
      </c>
      <c r="F20" s="164" t="s">
        <v>375</v>
      </c>
    </row>
    <row r="21" spans="1:6" x14ac:dyDescent="0.25">
      <c r="F21" s="164" t="s">
        <v>376</v>
      </c>
    </row>
    <row r="22" spans="1:6" x14ac:dyDescent="0.25">
      <c r="F22" s="164" t="s">
        <v>377</v>
      </c>
    </row>
    <row r="25" spans="1:6" ht="21" x14ac:dyDescent="0.25">
      <c r="C25" s="747" t="s">
        <v>183</v>
      </c>
      <c r="D25" s="747"/>
      <c r="E25" s="747"/>
    </row>
    <row r="26" spans="1:6" x14ac:dyDescent="0.25">
      <c r="C26" s="135" t="s">
        <v>330</v>
      </c>
      <c r="D26" t="s">
        <v>4</v>
      </c>
    </row>
    <row r="27" spans="1:6" ht="75" x14ac:dyDescent="0.25">
      <c r="C27" s="137" t="s">
        <v>333</v>
      </c>
      <c r="D27" s="138">
        <v>0.2</v>
      </c>
      <c r="E27" s="136" t="s">
        <v>37</v>
      </c>
    </row>
    <row r="28" spans="1:6" ht="60" x14ac:dyDescent="0.25">
      <c r="C28" s="137" t="s">
        <v>340</v>
      </c>
      <c r="D28" s="138">
        <v>0.4</v>
      </c>
      <c r="E28" s="145" t="s">
        <v>39</v>
      </c>
    </row>
    <row r="29" spans="1:6" ht="60" x14ac:dyDescent="0.25">
      <c r="C29" s="137" t="s">
        <v>345</v>
      </c>
      <c r="D29" s="138">
        <v>0.6</v>
      </c>
      <c r="E29" s="149" t="s">
        <v>91</v>
      </c>
    </row>
    <row r="30" spans="1:6" ht="90" x14ac:dyDescent="0.25">
      <c r="C30" s="137" t="s">
        <v>348</v>
      </c>
      <c r="D30" s="138">
        <v>0.8</v>
      </c>
      <c r="E30" s="146" t="s">
        <v>5</v>
      </c>
    </row>
    <row r="31" spans="1:6" ht="60" x14ac:dyDescent="0.25">
      <c r="C31" s="137" t="s">
        <v>353</v>
      </c>
      <c r="D31" s="138">
        <v>1</v>
      </c>
      <c r="E31" s="153" t="s">
        <v>40</v>
      </c>
    </row>
    <row r="34" spans="2:7" x14ac:dyDescent="0.25">
      <c r="B34" t="s">
        <v>378</v>
      </c>
    </row>
    <row r="35" spans="2:7" ht="25.5" x14ac:dyDescent="0.25">
      <c r="B35" s="128" t="s">
        <v>273</v>
      </c>
      <c r="F35" t="s">
        <v>379</v>
      </c>
    </row>
    <row r="36" spans="2:7" ht="25.5" x14ac:dyDescent="0.25">
      <c r="B36" s="128" t="s">
        <v>274</v>
      </c>
      <c r="F36" t="s">
        <v>380</v>
      </c>
      <c r="G36" t="s">
        <v>381</v>
      </c>
    </row>
    <row r="37" spans="2:7" x14ac:dyDescent="0.25">
      <c r="B37" s="128" t="s">
        <v>275</v>
      </c>
      <c r="E37" s="166"/>
      <c r="F37" t="s">
        <v>382</v>
      </c>
      <c r="G37" t="s">
        <v>383</v>
      </c>
    </row>
    <row r="38" spans="2:7" ht="25.5" x14ac:dyDescent="0.25">
      <c r="B38" s="128" t="s">
        <v>276</v>
      </c>
      <c r="D38" s="165"/>
      <c r="E38" s="166"/>
      <c r="F38" t="s">
        <v>384</v>
      </c>
      <c r="G38" t="s">
        <v>385</v>
      </c>
    </row>
    <row r="39" spans="2:7" ht="25.5" x14ac:dyDescent="0.25">
      <c r="B39" s="128" t="s">
        <v>277</v>
      </c>
      <c r="F39" t="s">
        <v>386</v>
      </c>
      <c r="G39" t="s">
        <v>387</v>
      </c>
    </row>
    <row r="40" spans="2:7" ht="25.5" x14ac:dyDescent="0.25">
      <c r="B40" s="128" t="s">
        <v>278</v>
      </c>
      <c r="F40" t="s">
        <v>388</v>
      </c>
      <c r="G40" t="s">
        <v>389</v>
      </c>
    </row>
    <row r="41" spans="2:7" x14ac:dyDescent="0.25">
      <c r="B41" s="128" t="s">
        <v>279</v>
      </c>
      <c r="F41" t="s">
        <v>390</v>
      </c>
      <c r="G41" t="s">
        <v>389</v>
      </c>
    </row>
    <row r="42" spans="2:7" x14ac:dyDescent="0.25">
      <c r="B42" s="128" t="s">
        <v>280</v>
      </c>
      <c r="F42" t="s">
        <v>391</v>
      </c>
      <c r="G42" t="s">
        <v>392</v>
      </c>
    </row>
    <row r="43" spans="2:7" x14ac:dyDescent="0.25">
      <c r="B43" s="128" t="s">
        <v>281</v>
      </c>
      <c r="F43" t="s">
        <v>393</v>
      </c>
      <c r="G43" t="s">
        <v>394</v>
      </c>
    </row>
    <row r="44" spans="2:7" x14ac:dyDescent="0.25">
      <c r="B44" s="128" t="s">
        <v>282</v>
      </c>
      <c r="F44" t="s">
        <v>395</v>
      </c>
      <c r="G44" t="s">
        <v>396</v>
      </c>
    </row>
    <row r="45" spans="2:7" x14ac:dyDescent="0.25">
      <c r="B45" s="128" t="s">
        <v>283</v>
      </c>
      <c r="F45" t="s">
        <v>397</v>
      </c>
      <c r="G45" t="s">
        <v>398</v>
      </c>
    </row>
    <row r="46" spans="2:7" x14ac:dyDescent="0.25">
      <c r="B46" s="128" t="s">
        <v>284</v>
      </c>
    </row>
    <row r="47" spans="2:7" ht="25.5" x14ac:dyDescent="0.25">
      <c r="B47" s="128" t="s">
        <v>285</v>
      </c>
    </row>
    <row r="48" spans="2:7" x14ac:dyDescent="0.25">
      <c r="B48" s="128" t="s">
        <v>286</v>
      </c>
    </row>
    <row r="49" spans="2:7" ht="25.5" x14ac:dyDescent="0.25">
      <c r="B49" s="128" t="s">
        <v>287</v>
      </c>
    </row>
    <row r="50" spans="2:7" x14ac:dyDescent="0.25">
      <c r="B50" s="128" t="s">
        <v>288</v>
      </c>
    </row>
    <row r="51" spans="2:7" x14ac:dyDescent="0.25">
      <c r="B51" s="128" t="s">
        <v>289</v>
      </c>
    </row>
    <row r="52" spans="2:7" ht="15.75" thickBot="1" x14ac:dyDescent="0.3">
      <c r="B52" s="128" t="s">
        <v>290</v>
      </c>
    </row>
    <row r="53" spans="2:7" ht="26.25" thickBot="1" x14ac:dyDescent="0.3">
      <c r="G53" s="167" t="s">
        <v>399</v>
      </c>
    </row>
    <row r="54" spans="2:7" ht="39" thickBot="1" x14ac:dyDescent="0.3">
      <c r="B54" s="168" t="s">
        <v>400</v>
      </c>
      <c r="C54" s="167" t="s">
        <v>399</v>
      </c>
      <c r="G54" s="168" t="s">
        <v>401</v>
      </c>
    </row>
    <row r="55" spans="2:7" ht="15.75" thickBot="1" x14ac:dyDescent="0.3">
      <c r="B55" s="169" t="s">
        <v>402</v>
      </c>
      <c r="C55" s="168" t="s">
        <v>403</v>
      </c>
      <c r="G55" s="170" t="s">
        <v>404</v>
      </c>
    </row>
    <row r="56" spans="2:7" ht="30" x14ac:dyDescent="0.25">
      <c r="B56" s="171" t="s">
        <v>405</v>
      </c>
      <c r="C56" s="169" t="s">
        <v>402</v>
      </c>
      <c r="G56" s="170" t="s">
        <v>406</v>
      </c>
    </row>
    <row r="57" spans="2:7" x14ac:dyDescent="0.25">
      <c r="B57" s="171" t="s">
        <v>407</v>
      </c>
      <c r="C57" s="171" t="s">
        <v>405</v>
      </c>
      <c r="G57" s="170" t="s">
        <v>408</v>
      </c>
    </row>
    <row r="58" spans="2:7" ht="30" x14ac:dyDescent="0.25">
      <c r="B58" s="172" t="s">
        <v>409</v>
      </c>
      <c r="C58" s="171" t="s">
        <v>407</v>
      </c>
      <c r="G58" s="170" t="s">
        <v>410</v>
      </c>
    </row>
    <row r="59" spans="2:7" ht="45" x14ac:dyDescent="0.25">
      <c r="B59" s="173" t="s">
        <v>411</v>
      </c>
      <c r="C59" s="172" t="s">
        <v>409</v>
      </c>
      <c r="G59" s="170" t="s">
        <v>412</v>
      </c>
    </row>
    <row r="60" spans="2:7" x14ac:dyDescent="0.25">
      <c r="B60" s="171" t="s">
        <v>413</v>
      </c>
      <c r="C60" s="173" t="s">
        <v>411</v>
      </c>
      <c r="G60" s="170" t="s">
        <v>414</v>
      </c>
    </row>
    <row r="61" spans="2:7" x14ac:dyDescent="0.25">
      <c r="B61" s="173" t="s">
        <v>415</v>
      </c>
      <c r="C61" s="171" t="s">
        <v>413</v>
      </c>
      <c r="G61" s="170" t="s">
        <v>416</v>
      </c>
    </row>
    <row r="62" spans="2:7" x14ac:dyDescent="0.25">
      <c r="B62" s="173" t="s">
        <v>417</v>
      </c>
      <c r="C62" s="173" t="s">
        <v>415</v>
      </c>
      <c r="G62" s="170" t="s">
        <v>418</v>
      </c>
    </row>
    <row r="63" spans="2:7" x14ac:dyDescent="0.25">
      <c r="B63" s="173" t="s">
        <v>419</v>
      </c>
      <c r="C63" s="171" t="s">
        <v>420</v>
      </c>
      <c r="G63" s="170" t="s">
        <v>421</v>
      </c>
    </row>
    <row r="64" spans="2:7" x14ac:dyDescent="0.25">
      <c r="B64" s="171" t="s">
        <v>420</v>
      </c>
      <c r="C64" s="171" t="s">
        <v>422</v>
      </c>
      <c r="G64" s="170" t="s">
        <v>423</v>
      </c>
    </row>
    <row r="65" spans="2:7" x14ac:dyDescent="0.25">
      <c r="B65" s="171" t="s">
        <v>424</v>
      </c>
      <c r="C65" s="171" t="s">
        <v>425</v>
      </c>
      <c r="G65" s="170" t="s">
        <v>426</v>
      </c>
    </row>
    <row r="66" spans="2:7" x14ac:dyDescent="0.25">
      <c r="B66" s="171" t="s">
        <v>422</v>
      </c>
      <c r="C66" s="171" t="s">
        <v>427</v>
      </c>
      <c r="G66" s="170" t="s">
        <v>428</v>
      </c>
    </row>
    <row r="67" spans="2:7" ht="45" x14ac:dyDescent="0.25">
      <c r="B67" s="171" t="s">
        <v>429</v>
      </c>
      <c r="C67" s="172" t="s">
        <v>430</v>
      </c>
      <c r="G67" s="170" t="s">
        <v>431</v>
      </c>
    </row>
    <row r="68" spans="2:7" x14ac:dyDescent="0.25">
      <c r="B68" s="171" t="s">
        <v>425</v>
      </c>
      <c r="C68" s="171" t="s">
        <v>432</v>
      </c>
      <c r="G68" s="170" t="s">
        <v>433</v>
      </c>
    </row>
    <row r="69" spans="2:7" x14ac:dyDescent="0.25">
      <c r="B69" s="171" t="s">
        <v>434</v>
      </c>
      <c r="C69" s="171" t="s">
        <v>435</v>
      </c>
      <c r="G69" s="170" t="s">
        <v>436</v>
      </c>
    </row>
    <row r="70" spans="2:7" x14ac:dyDescent="0.25">
      <c r="B70" s="171" t="s">
        <v>427</v>
      </c>
      <c r="C70" s="171" t="s">
        <v>437</v>
      </c>
      <c r="G70" s="170" t="s">
        <v>438</v>
      </c>
    </row>
    <row r="71" spans="2:7" ht="45" x14ac:dyDescent="0.25">
      <c r="B71" s="172" t="s">
        <v>430</v>
      </c>
      <c r="C71" s="171" t="s">
        <v>439</v>
      </c>
      <c r="G71" s="170" t="s">
        <v>440</v>
      </c>
    </row>
    <row r="72" spans="2:7" x14ac:dyDescent="0.25">
      <c r="B72" s="171" t="s">
        <v>441</v>
      </c>
      <c r="C72" s="171" t="s">
        <v>442</v>
      </c>
      <c r="G72" s="170" t="s">
        <v>443</v>
      </c>
    </row>
    <row r="73" spans="2:7" ht="30" x14ac:dyDescent="0.25">
      <c r="B73" s="172" t="s">
        <v>444</v>
      </c>
      <c r="C73" s="171" t="s">
        <v>445</v>
      </c>
      <c r="G73" s="170"/>
    </row>
    <row r="74" spans="2:7" x14ac:dyDescent="0.25">
      <c r="B74" s="171" t="s">
        <v>432</v>
      </c>
      <c r="C74" s="171" t="s">
        <v>446</v>
      </c>
      <c r="G74" s="170"/>
    </row>
    <row r="75" spans="2:7" ht="15.75" thickBot="1" x14ac:dyDescent="0.3">
      <c r="B75" s="171" t="s">
        <v>435</v>
      </c>
      <c r="C75" s="171" t="s">
        <v>447</v>
      </c>
      <c r="G75" s="170"/>
    </row>
    <row r="76" spans="2:7" ht="15.75" thickBot="1" x14ac:dyDescent="0.3">
      <c r="B76" s="171" t="s">
        <v>437</v>
      </c>
      <c r="C76" s="171" t="s">
        <v>448</v>
      </c>
      <c r="G76" s="167" t="s">
        <v>449</v>
      </c>
    </row>
    <row r="77" spans="2:7" ht="26.25" thickBot="1" x14ac:dyDescent="0.3">
      <c r="B77" s="171" t="s">
        <v>439</v>
      </c>
      <c r="C77" s="167" t="s">
        <v>449</v>
      </c>
      <c r="G77" s="168" t="s">
        <v>401</v>
      </c>
    </row>
    <row r="78" spans="2:7" ht="15.75" thickBot="1" x14ac:dyDescent="0.3">
      <c r="B78" s="171" t="s">
        <v>442</v>
      </c>
      <c r="C78" s="168" t="s">
        <v>403</v>
      </c>
      <c r="G78" s="170" t="s">
        <v>450</v>
      </c>
    </row>
    <row r="79" spans="2:7" ht="30" x14ac:dyDescent="0.25">
      <c r="B79" s="171" t="s">
        <v>445</v>
      </c>
      <c r="C79" s="169" t="s">
        <v>402</v>
      </c>
      <c r="G79" s="170" t="s">
        <v>451</v>
      </c>
    </row>
    <row r="80" spans="2:7" ht="45" x14ac:dyDescent="0.25">
      <c r="B80" s="171" t="s">
        <v>452</v>
      </c>
      <c r="C80" s="172" t="s">
        <v>409</v>
      </c>
      <c r="G80" s="170" t="s">
        <v>453</v>
      </c>
    </row>
    <row r="81" spans="2:7" x14ac:dyDescent="0.25">
      <c r="B81" s="171" t="s">
        <v>446</v>
      </c>
      <c r="C81" s="173" t="s">
        <v>411</v>
      </c>
      <c r="G81" s="170" t="s">
        <v>454</v>
      </c>
    </row>
    <row r="82" spans="2:7" x14ac:dyDescent="0.25">
      <c r="B82" s="171" t="s">
        <v>455</v>
      </c>
      <c r="C82" s="173" t="s">
        <v>415</v>
      </c>
      <c r="G82" s="170" t="s">
        <v>456</v>
      </c>
    </row>
    <row r="83" spans="2:7" x14ac:dyDescent="0.25">
      <c r="B83" s="171" t="s">
        <v>447</v>
      </c>
      <c r="C83" s="173" t="s">
        <v>417</v>
      </c>
      <c r="G83" s="170" t="s">
        <v>457</v>
      </c>
    </row>
    <row r="84" spans="2:7" x14ac:dyDescent="0.25">
      <c r="B84" s="171" t="s">
        <v>458</v>
      </c>
      <c r="C84" s="173" t="s">
        <v>419</v>
      </c>
      <c r="G84" s="170" t="s">
        <v>459</v>
      </c>
    </row>
    <row r="85" spans="2:7" x14ac:dyDescent="0.25">
      <c r="B85" s="171" t="s">
        <v>460</v>
      </c>
      <c r="C85" s="171" t="s">
        <v>424</v>
      </c>
      <c r="G85" s="170" t="s">
        <v>461</v>
      </c>
    </row>
    <row r="86" spans="2:7" x14ac:dyDescent="0.25">
      <c r="B86" s="171" t="s">
        <v>448</v>
      </c>
      <c r="C86" s="171" t="s">
        <v>422</v>
      </c>
      <c r="G86" s="170" t="s">
        <v>462</v>
      </c>
    </row>
    <row r="87" spans="2:7" x14ac:dyDescent="0.25">
      <c r="B87" s="171" t="s">
        <v>463</v>
      </c>
      <c r="C87" s="171" t="s">
        <v>429</v>
      </c>
      <c r="G87" s="170" t="s">
        <v>464</v>
      </c>
    </row>
    <row r="88" spans="2:7" x14ac:dyDescent="0.25">
      <c r="B88" s="171" t="s">
        <v>465</v>
      </c>
      <c r="C88" s="171" t="s">
        <v>425</v>
      </c>
      <c r="G88" s="170" t="s">
        <v>466</v>
      </c>
    </row>
    <row r="89" spans="2:7" ht="45" x14ac:dyDescent="0.25">
      <c r="B89" s="173" t="s">
        <v>467</v>
      </c>
      <c r="C89" s="172" t="s">
        <v>430</v>
      </c>
      <c r="G89" s="170" t="s">
        <v>468</v>
      </c>
    </row>
    <row r="90" spans="2:7" x14ac:dyDescent="0.25">
      <c r="C90" s="171" t="s">
        <v>441</v>
      </c>
      <c r="G90" s="170" t="s">
        <v>469</v>
      </c>
    </row>
    <row r="91" spans="2:7" ht="30" x14ac:dyDescent="0.25">
      <c r="C91" s="172" t="s">
        <v>444</v>
      </c>
      <c r="G91" s="170" t="s">
        <v>470</v>
      </c>
    </row>
    <row r="92" spans="2:7" x14ac:dyDescent="0.25">
      <c r="C92" s="171" t="s">
        <v>435</v>
      </c>
      <c r="G92" s="170" t="s">
        <v>471</v>
      </c>
    </row>
    <row r="93" spans="2:7" x14ac:dyDescent="0.25">
      <c r="C93" s="171" t="s">
        <v>437</v>
      </c>
      <c r="G93" s="170"/>
    </row>
    <row r="94" spans="2:7" x14ac:dyDescent="0.25">
      <c r="C94" s="171" t="s">
        <v>439</v>
      </c>
      <c r="G94" s="170"/>
    </row>
    <row r="95" spans="2:7" x14ac:dyDescent="0.25">
      <c r="C95" s="171" t="s">
        <v>445</v>
      </c>
      <c r="G95" s="170"/>
    </row>
    <row r="96" spans="2:7" x14ac:dyDescent="0.25">
      <c r="C96" s="171" t="s">
        <v>446</v>
      </c>
      <c r="G96" s="170"/>
    </row>
    <row r="97" spans="3:7" x14ac:dyDescent="0.25">
      <c r="C97" s="171" t="s">
        <v>455</v>
      </c>
      <c r="G97" s="170"/>
    </row>
    <row r="98" spans="3:7" ht="15.75" thickBot="1" x14ac:dyDescent="0.3">
      <c r="C98" s="171" t="s">
        <v>463</v>
      </c>
      <c r="G98" s="170"/>
    </row>
    <row r="99" spans="3:7" ht="15.75" thickBot="1" x14ac:dyDescent="0.3">
      <c r="C99" s="171" t="s">
        <v>465</v>
      </c>
      <c r="G99" s="167" t="s">
        <v>472</v>
      </c>
    </row>
    <row r="100" spans="3:7" ht="15.75" thickBot="1" x14ac:dyDescent="0.3">
      <c r="C100" s="167" t="s">
        <v>472</v>
      </c>
      <c r="G100" s="168" t="s">
        <v>401</v>
      </c>
    </row>
    <row r="101" spans="3:7" ht="15.75" thickBot="1" x14ac:dyDescent="0.3">
      <c r="C101" s="168" t="s">
        <v>403</v>
      </c>
      <c r="G101" s="170" t="s">
        <v>473</v>
      </c>
    </row>
    <row r="102" spans="3:7" ht="30" x14ac:dyDescent="0.25">
      <c r="C102" s="169" t="s">
        <v>402</v>
      </c>
      <c r="G102" s="170" t="s">
        <v>474</v>
      </c>
    </row>
    <row r="103" spans="3:7" x14ac:dyDescent="0.25">
      <c r="C103" s="171" t="s">
        <v>405</v>
      </c>
      <c r="G103" s="170" t="s">
        <v>475</v>
      </c>
    </row>
    <row r="104" spans="3:7" x14ac:dyDescent="0.25">
      <c r="C104" s="171" t="s">
        <v>407</v>
      </c>
      <c r="G104" s="170" t="s">
        <v>476</v>
      </c>
    </row>
    <row r="105" spans="3:7" ht="45" x14ac:dyDescent="0.25">
      <c r="C105" s="172" t="s">
        <v>409</v>
      </c>
      <c r="G105" s="170" t="s">
        <v>477</v>
      </c>
    </row>
    <row r="106" spans="3:7" x14ac:dyDescent="0.25">
      <c r="C106" s="173" t="s">
        <v>415</v>
      </c>
      <c r="G106" s="170" t="s">
        <v>478</v>
      </c>
    </row>
    <row r="107" spans="3:7" x14ac:dyDescent="0.25">
      <c r="C107" s="171" t="s">
        <v>420</v>
      </c>
      <c r="G107" s="170" t="s">
        <v>479</v>
      </c>
    </row>
    <row r="108" spans="3:7" x14ac:dyDescent="0.25">
      <c r="C108" s="171" t="s">
        <v>422</v>
      </c>
      <c r="G108" s="170" t="s">
        <v>480</v>
      </c>
    </row>
    <row r="109" spans="3:7" x14ac:dyDescent="0.25">
      <c r="C109" s="171" t="s">
        <v>425</v>
      </c>
      <c r="G109" s="170" t="s">
        <v>481</v>
      </c>
    </row>
    <row r="110" spans="3:7" x14ac:dyDescent="0.25">
      <c r="C110" s="171" t="s">
        <v>427</v>
      </c>
      <c r="G110" s="170" t="s">
        <v>482</v>
      </c>
    </row>
    <row r="111" spans="3:7" ht="45" x14ac:dyDescent="0.25">
      <c r="C111" s="172" t="s">
        <v>430</v>
      </c>
      <c r="G111" s="170" t="s">
        <v>483</v>
      </c>
    </row>
    <row r="112" spans="3:7" x14ac:dyDescent="0.25">
      <c r="C112" s="171" t="s">
        <v>441</v>
      </c>
      <c r="G112" s="170" t="s">
        <v>484</v>
      </c>
    </row>
    <row r="113" spans="3:7" ht="30" x14ac:dyDescent="0.25">
      <c r="C113" s="172" t="s">
        <v>444</v>
      </c>
      <c r="G113" s="170" t="s">
        <v>485</v>
      </c>
    </row>
    <row r="114" spans="3:7" x14ac:dyDescent="0.25">
      <c r="C114" s="171" t="s">
        <v>432</v>
      </c>
      <c r="G114" s="170" t="s">
        <v>486</v>
      </c>
    </row>
    <row r="115" spans="3:7" x14ac:dyDescent="0.25">
      <c r="C115" s="171" t="s">
        <v>435</v>
      </c>
      <c r="G115" s="170" t="s">
        <v>487</v>
      </c>
    </row>
    <row r="116" spans="3:7" x14ac:dyDescent="0.25">
      <c r="C116" s="171" t="s">
        <v>437</v>
      </c>
      <c r="G116" s="170"/>
    </row>
    <row r="117" spans="3:7" x14ac:dyDescent="0.25">
      <c r="C117" s="171" t="s">
        <v>442</v>
      </c>
      <c r="G117" s="170"/>
    </row>
    <row r="118" spans="3:7" x14ac:dyDescent="0.25">
      <c r="C118" s="171" t="s">
        <v>445</v>
      </c>
      <c r="G118" s="170"/>
    </row>
    <row r="119" spans="3:7" x14ac:dyDescent="0.25">
      <c r="C119" s="171" t="s">
        <v>446</v>
      </c>
      <c r="G119" s="170"/>
    </row>
    <row r="120" spans="3:7" x14ac:dyDescent="0.25">
      <c r="C120" s="171" t="s">
        <v>455</v>
      </c>
      <c r="G120" s="170"/>
    </row>
    <row r="121" spans="3:7" ht="15.75" thickBot="1" x14ac:dyDescent="0.3">
      <c r="C121" s="171" t="s">
        <v>447</v>
      </c>
      <c r="G121" s="170"/>
    </row>
    <row r="122" spans="3:7" ht="15.75" thickBot="1" x14ac:dyDescent="0.3">
      <c r="C122" s="171" t="s">
        <v>448</v>
      </c>
      <c r="G122" s="167" t="s">
        <v>488</v>
      </c>
    </row>
    <row r="123" spans="3:7" ht="26.25" thickBot="1" x14ac:dyDescent="0.3">
      <c r="C123" s="167" t="s">
        <v>488</v>
      </c>
      <c r="G123" s="168" t="s">
        <v>401</v>
      </c>
    </row>
    <row r="124" spans="3:7" ht="15.75" thickBot="1" x14ac:dyDescent="0.3">
      <c r="C124" s="168" t="s">
        <v>403</v>
      </c>
      <c r="G124" s="170" t="s">
        <v>489</v>
      </c>
    </row>
    <row r="125" spans="3:7" ht="30" x14ac:dyDescent="0.25">
      <c r="C125" s="169" t="s">
        <v>402</v>
      </c>
      <c r="G125" s="170" t="s">
        <v>490</v>
      </c>
    </row>
    <row r="126" spans="3:7" ht="45" x14ac:dyDescent="0.25">
      <c r="C126" s="172" t="s">
        <v>409</v>
      </c>
      <c r="G126" s="170" t="s">
        <v>491</v>
      </c>
    </row>
    <row r="127" spans="3:7" x14ac:dyDescent="0.25">
      <c r="C127" s="173" t="s">
        <v>411</v>
      </c>
      <c r="G127" s="170" t="s">
        <v>492</v>
      </c>
    </row>
    <row r="128" spans="3:7" x14ac:dyDescent="0.25">
      <c r="C128" s="171" t="s">
        <v>413</v>
      </c>
      <c r="G128" s="170" t="s">
        <v>493</v>
      </c>
    </row>
    <row r="129" spans="3:7" x14ac:dyDescent="0.25">
      <c r="C129" s="173" t="s">
        <v>415</v>
      </c>
      <c r="G129" s="170" t="s">
        <v>494</v>
      </c>
    </row>
    <row r="130" spans="3:7" x14ac:dyDescent="0.25">
      <c r="C130" s="173" t="s">
        <v>417</v>
      </c>
      <c r="G130" s="170" t="s">
        <v>495</v>
      </c>
    </row>
    <row r="131" spans="3:7" x14ac:dyDescent="0.25">
      <c r="C131" s="171" t="s">
        <v>424</v>
      </c>
      <c r="G131" s="170" t="s">
        <v>496</v>
      </c>
    </row>
    <row r="132" spans="3:7" x14ac:dyDescent="0.25">
      <c r="C132" s="171" t="s">
        <v>422</v>
      </c>
      <c r="G132" s="170" t="s">
        <v>462</v>
      </c>
    </row>
    <row r="133" spans="3:7" x14ac:dyDescent="0.25">
      <c r="C133" s="171" t="s">
        <v>429</v>
      </c>
      <c r="G133" s="170" t="s">
        <v>497</v>
      </c>
    </row>
    <row r="134" spans="3:7" x14ac:dyDescent="0.25">
      <c r="C134" s="171" t="s">
        <v>425</v>
      </c>
      <c r="G134" s="170" t="s">
        <v>486</v>
      </c>
    </row>
    <row r="135" spans="3:7" ht="45" x14ac:dyDescent="0.25">
      <c r="C135" s="172" t="s">
        <v>430</v>
      </c>
      <c r="G135" s="170"/>
    </row>
    <row r="136" spans="3:7" ht="30" x14ac:dyDescent="0.25">
      <c r="C136" s="172" t="s">
        <v>444</v>
      </c>
      <c r="G136" s="170"/>
    </row>
    <row r="137" spans="3:7" x14ac:dyDescent="0.25">
      <c r="C137" s="171" t="s">
        <v>432</v>
      </c>
      <c r="G137" s="170"/>
    </row>
    <row r="138" spans="3:7" x14ac:dyDescent="0.25">
      <c r="C138" s="171" t="s">
        <v>435</v>
      </c>
      <c r="G138" s="170"/>
    </row>
    <row r="139" spans="3:7" x14ac:dyDescent="0.25">
      <c r="C139" s="171" t="s">
        <v>437</v>
      </c>
      <c r="G139" s="170"/>
    </row>
    <row r="140" spans="3:7" x14ac:dyDescent="0.25">
      <c r="C140" s="171" t="s">
        <v>439</v>
      </c>
      <c r="G140" s="170"/>
    </row>
    <row r="141" spans="3:7" x14ac:dyDescent="0.25">
      <c r="C141" s="171" t="s">
        <v>442</v>
      </c>
      <c r="G141" s="170"/>
    </row>
    <row r="142" spans="3:7" x14ac:dyDescent="0.25">
      <c r="C142" s="171" t="s">
        <v>445</v>
      </c>
      <c r="G142" s="170"/>
    </row>
    <row r="143" spans="3:7" x14ac:dyDescent="0.25">
      <c r="C143" s="173" t="s">
        <v>467</v>
      </c>
      <c r="G143" s="170"/>
    </row>
    <row r="144" spans="3:7" ht="15.75" thickBot="1" x14ac:dyDescent="0.3">
      <c r="C144" s="174"/>
      <c r="G144" s="170"/>
    </row>
    <row r="145" spans="3:7" ht="15.75" thickBot="1" x14ac:dyDescent="0.3">
      <c r="C145" s="175"/>
      <c r="G145" s="167" t="s">
        <v>498</v>
      </c>
    </row>
    <row r="146" spans="3:7" ht="15.75" thickBot="1" x14ac:dyDescent="0.3">
      <c r="C146" s="167" t="s">
        <v>498</v>
      </c>
      <c r="G146" s="168" t="s">
        <v>401</v>
      </c>
    </row>
    <row r="147" spans="3:7" ht="15.75" thickBot="1" x14ac:dyDescent="0.3">
      <c r="C147" s="168" t="s">
        <v>403</v>
      </c>
      <c r="G147" s="170" t="s">
        <v>489</v>
      </c>
    </row>
    <row r="148" spans="3:7" ht="30" x14ac:dyDescent="0.25">
      <c r="C148" s="169" t="s">
        <v>402</v>
      </c>
      <c r="G148" s="170" t="s">
        <v>490</v>
      </c>
    </row>
    <row r="149" spans="3:7" ht="45" x14ac:dyDescent="0.25">
      <c r="C149" s="172" t="s">
        <v>409</v>
      </c>
      <c r="G149" s="170" t="s">
        <v>491</v>
      </c>
    </row>
    <row r="150" spans="3:7" x14ac:dyDescent="0.25">
      <c r="C150" s="173" t="s">
        <v>411</v>
      </c>
      <c r="G150" s="170" t="s">
        <v>499</v>
      </c>
    </row>
    <row r="151" spans="3:7" x14ac:dyDescent="0.25">
      <c r="C151" s="173" t="s">
        <v>415</v>
      </c>
      <c r="G151" s="170" t="s">
        <v>462</v>
      </c>
    </row>
    <row r="152" spans="3:7" x14ac:dyDescent="0.25">
      <c r="C152" s="173" t="s">
        <v>417</v>
      </c>
      <c r="G152" s="170" t="s">
        <v>500</v>
      </c>
    </row>
    <row r="153" spans="3:7" x14ac:dyDescent="0.25">
      <c r="C153" s="173" t="s">
        <v>419</v>
      </c>
      <c r="G153" s="170" t="s">
        <v>486</v>
      </c>
    </row>
    <row r="154" spans="3:7" x14ac:dyDescent="0.25">
      <c r="C154" s="171" t="s">
        <v>424</v>
      </c>
      <c r="G154" s="170" t="s">
        <v>501</v>
      </c>
    </row>
    <row r="155" spans="3:7" x14ac:dyDescent="0.25">
      <c r="C155" s="171" t="s">
        <v>422</v>
      </c>
      <c r="G155" s="170"/>
    </row>
    <row r="156" spans="3:7" x14ac:dyDescent="0.25">
      <c r="C156" s="171" t="s">
        <v>429</v>
      </c>
      <c r="G156" s="170"/>
    </row>
    <row r="157" spans="3:7" x14ac:dyDescent="0.25">
      <c r="C157" s="171" t="s">
        <v>425</v>
      </c>
      <c r="G157" s="170"/>
    </row>
    <row r="158" spans="3:7" ht="45" x14ac:dyDescent="0.25">
      <c r="C158" s="172" t="s">
        <v>430</v>
      </c>
      <c r="G158" s="170"/>
    </row>
    <row r="159" spans="3:7" x14ac:dyDescent="0.25">
      <c r="C159" s="171" t="s">
        <v>441</v>
      </c>
      <c r="G159" s="170"/>
    </row>
    <row r="160" spans="3:7" ht="30" x14ac:dyDescent="0.25">
      <c r="C160" s="172" t="s">
        <v>444</v>
      </c>
      <c r="G160" s="170"/>
    </row>
    <row r="161" spans="3:7" x14ac:dyDescent="0.25">
      <c r="C161" s="171" t="s">
        <v>432</v>
      </c>
      <c r="G161" s="170"/>
    </row>
    <row r="162" spans="3:7" x14ac:dyDescent="0.25">
      <c r="C162" s="171" t="s">
        <v>437</v>
      </c>
      <c r="G162" s="170"/>
    </row>
    <row r="163" spans="3:7" x14ac:dyDescent="0.25">
      <c r="C163" s="171" t="s">
        <v>439</v>
      </c>
      <c r="G163" s="170"/>
    </row>
    <row r="164" spans="3:7" x14ac:dyDescent="0.25">
      <c r="C164" s="171" t="s">
        <v>445</v>
      </c>
      <c r="G164" s="170"/>
    </row>
    <row r="165" spans="3:7" x14ac:dyDescent="0.25">
      <c r="C165" s="171" t="s">
        <v>446</v>
      </c>
      <c r="G165" s="170"/>
    </row>
    <row r="166" spans="3:7" x14ac:dyDescent="0.25">
      <c r="C166" s="171" t="s">
        <v>463</v>
      </c>
      <c r="G166" s="170"/>
    </row>
    <row r="167" spans="3:7" ht="15.75" thickBot="1" x14ac:dyDescent="0.3">
      <c r="C167" s="173" t="s">
        <v>467</v>
      </c>
      <c r="G167" s="170"/>
    </row>
    <row r="168" spans="3:7" ht="15.75" thickBot="1" x14ac:dyDescent="0.3">
      <c r="C168" s="175"/>
      <c r="G168" s="167" t="s">
        <v>502</v>
      </c>
    </row>
    <row r="169" spans="3:7" ht="26.25" thickBot="1" x14ac:dyDescent="0.3">
      <c r="C169" s="167" t="s">
        <v>502</v>
      </c>
      <c r="G169" s="168" t="s">
        <v>401</v>
      </c>
    </row>
    <row r="170" spans="3:7" ht="15.75" thickBot="1" x14ac:dyDescent="0.3">
      <c r="C170" s="168" t="s">
        <v>403</v>
      </c>
      <c r="G170" s="170" t="s">
        <v>503</v>
      </c>
    </row>
    <row r="171" spans="3:7" ht="30" x14ac:dyDescent="0.25">
      <c r="C171" s="169" t="s">
        <v>402</v>
      </c>
      <c r="G171" s="170" t="s">
        <v>504</v>
      </c>
    </row>
    <row r="172" spans="3:7" x14ac:dyDescent="0.25">
      <c r="C172" s="171" t="s">
        <v>405</v>
      </c>
      <c r="G172" s="170" t="s">
        <v>505</v>
      </c>
    </row>
    <row r="173" spans="3:7" x14ac:dyDescent="0.25">
      <c r="C173" s="171" t="s">
        <v>407</v>
      </c>
      <c r="G173" s="170" t="s">
        <v>506</v>
      </c>
    </row>
    <row r="174" spans="3:7" x14ac:dyDescent="0.25">
      <c r="C174" s="173" t="s">
        <v>415</v>
      </c>
      <c r="G174" s="170" t="s">
        <v>507</v>
      </c>
    </row>
    <row r="175" spans="3:7" x14ac:dyDescent="0.25">
      <c r="C175" s="173" t="s">
        <v>417</v>
      </c>
      <c r="G175" s="170" t="s">
        <v>508</v>
      </c>
    </row>
    <row r="176" spans="3:7" x14ac:dyDescent="0.25">
      <c r="C176" s="173" t="s">
        <v>419</v>
      </c>
      <c r="G176" s="170" t="s">
        <v>509</v>
      </c>
    </row>
    <row r="177" spans="3:7" x14ac:dyDescent="0.25">
      <c r="C177" s="171" t="s">
        <v>424</v>
      </c>
      <c r="G177" s="170" t="s">
        <v>510</v>
      </c>
    </row>
    <row r="178" spans="3:7" x14ac:dyDescent="0.25">
      <c r="C178" s="171" t="s">
        <v>422</v>
      </c>
      <c r="G178" s="170" t="s">
        <v>511</v>
      </c>
    </row>
    <row r="179" spans="3:7" x14ac:dyDescent="0.25">
      <c r="C179" s="171" t="s">
        <v>429</v>
      </c>
      <c r="G179" s="170" t="s">
        <v>486</v>
      </c>
    </row>
    <row r="180" spans="3:7" x14ac:dyDescent="0.25">
      <c r="C180" s="171" t="s">
        <v>434</v>
      </c>
      <c r="G180" s="170" t="s">
        <v>512</v>
      </c>
    </row>
    <row r="181" spans="3:7" x14ac:dyDescent="0.25">
      <c r="C181" s="171" t="s">
        <v>445</v>
      </c>
      <c r="G181" s="170" t="s">
        <v>513</v>
      </c>
    </row>
    <row r="182" spans="3:7" x14ac:dyDescent="0.25">
      <c r="C182" s="171" t="s">
        <v>452</v>
      </c>
      <c r="G182" s="170" t="s">
        <v>514</v>
      </c>
    </row>
    <row r="183" spans="3:7" x14ac:dyDescent="0.25">
      <c r="C183" s="171" t="s">
        <v>447</v>
      </c>
      <c r="G183" s="170" t="s">
        <v>515</v>
      </c>
    </row>
    <row r="184" spans="3:7" x14ac:dyDescent="0.25">
      <c r="C184" s="171" t="s">
        <v>458</v>
      </c>
      <c r="G184" s="170"/>
    </row>
    <row r="185" spans="3:7" x14ac:dyDescent="0.25">
      <c r="C185" s="171" t="s">
        <v>460</v>
      </c>
      <c r="G185" s="170"/>
    </row>
    <row r="186" spans="3:7" x14ac:dyDescent="0.25">
      <c r="C186" s="171" t="s">
        <v>448</v>
      </c>
      <c r="G186" s="170"/>
    </row>
    <row r="187" spans="3:7" x14ac:dyDescent="0.25">
      <c r="C187" s="171" t="s">
        <v>463</v>
      </c>
      <c r="G187" s="170"/>
    </row>
    <row r="188" spans="3:7" x14ac:dyDescent="0.25">
      <c r="C188" s="171" t="s">
        <v>465</v>
      </c>
      <c r="G188" s="170"/>
    </row>
    <row r="189" spans="3:7" x14ac:dyDescent="0.25">
      <c r="C189" s="173" t="s">
        <v>467</v>
      </c>
      <c r="G189" s="170"/>
    </row>
    <row r="190" spans="3:7" ht="15.75" thickBot="1" x14ac:dyDescent="0.3">
      <c r="C190" s="174"/>
      <c r="G190" s="170"/>
    </row>
    <row r="191" spans="3:7" ht="15.75" thickBot="1" x14ac:dyDescent="0.3">
      <c r="C191" s="175"/>
      <c r="G191" s="167" t="s">
        <v>516</v>
      </c>
    </row>
    <row r="192" spans="3:7" ht="26.25" thickBot="1" x14ac:dyDescent="0.3">
      <c r="C192" s="167" t="s">
        <v>516</v>
      </c>
      <c r="G192" s="168" t="s">
        <v>401</v>
      </c>
    </row>
    <row r="193" spans="3:7" ht="15.75" thickBot="1" x14ac:dyDescent="0.3">
      <c r="C193" s="168" t="s">
        <v>403</v>
      </c>
      <c r="G193" s="170" t="s">
        <v>517</v>
      </c>
    </row>
    <row r="194" spans="3:7" ht="30" x14ac:dyDescent="0.25">
      <c r="C194" s="169" t="s">
        <v>402</v>
      </c>
      <c r="G194" s="170" t="s">
        <v>518</v>
      </c>
    </row>
    <row r="195" spans="3:7" x14ac:dyDescent="0.25">
      <c r="C195" s="171" t="s">
        <v>405</v>
      </c>
      <c r="G195" s="170" t="s">
        <v>519</v>
      </c>
    </row>
    <row r="196" spans="3:7" x14ac:dyDescent="0.25">
      <c r="C196" s="171" t="s">
        <v>407</v>
      </c>
      <c r="G196" s="170" t="s">
        <v>520</v>
      </c>
    </row>
    <row r="197" spans="3:7" ht="45" x14ac:dyDescent="0.25">
      <c r="C197" s="172" t="s">
        <v>409</v>
      </c>
      <c r="G197" s="170" t="s">
        <v>521</v>
      </c>
    </row>
    <row r="198" spans="3:7" x14ac:dyDescent="0.25">
      <c r="C198" s="173" t="s">
        <v>411</v>
      </c>
      <c r="G198" s="170" t="s">
        <v>522</v>
      </c>
    </row>
    <row r="199" spans="3:7" x14ac:dyDescent="0.25">
      <c r="C199" s="171" t="s">
        <v>413</v>
      </c>
      <c r="G199" s="170" t="s">
        <v>523</v>
      </c>
    </row>
    <row r="200" spans="3:7" x14ac:dyDescent="0.25">
      <c r="C200" s="173" t="s">
        <v>415</v>
      </c>
      <c r="G200" s="170" t="s">
        <v>524</v>
      </c>
    </row>
    <row r="201" spans="3:7" x14ac:dyDescent="0.25">
      <c r="C201" s="173" t="s">
        <v>417</v>
      </c>
      <c r="G201" s="170" t="s">
        <v>511</v>
      </c>
    </row>
    <row r="202" spans="3:7" x14ac:dyDescent="0.25">
      <c r="C202" s="173" t="s">
        <v>419</v>
      </c>
      <c r="G202" s="170" t="s">
        <v>525</v>
      </c>
    </row>
    <row r="203" spans="3:7" x14ac:dyDescent="0.25">
      <c r="C203" s="171" t="s">
        <v>420</v>
      </c>
      <c r="G203" s="170" t="s">
        <v>526</v>
      </c>
    </row>
    <row r="204" spans="3:7" x14ac:dyDescent="0.25">
      <c r="C204" s="171" t="s">
        <v>424</v>
      </c>
      <c r="G204" s="170" t="s">
        <v>527</v>
      </c>
    </row>
    <row r="205" spans="3:7" x14ac:dyDescent="0.25">
      <c r="C205" s="171" t="s">
        <v>422</v>
      </c>
      <c r="G205" s="170" t="s">
        <v>528</v>
      </c>
    </row>
    <row r="206" spans="3:7" x14ac:dyDescent="0.25">
      <c r="C206" s="171" t="s">
        <v>429</v>
      </c>
      <c r="G206" s="170" t="s">
        <v>491</v>
      </c>
    </row>
    <row r="207" spans="3:7" x14ac:dyDescent="0.25">
      <c r="C207" s="171" t="s">
        <v>425</v>
      </c>
      <c r="G207" s="170" t="s">
        <v>529</v>
      </c>
    </row>
    <row r="208" spans="3:7" x14ac:dyDescent="0.25">
      <c r="C208" s="171" t="s">
        <v>427</v>
      </c>
      <c r="G208" s="170" t="s">
        <v>530</v>
      </c>
    </row>
    <row r="209" spans="3:7" ht="30" x14ac:dyDescent="0.25">
      <c r="C209" s="172" t="s">
        <v>444</v>
      </c>
      <c r="G209" s="170" t="s">
        <v>509</v>
      </c>
    </row>
    <row r="210" spans="3:7" x14ac:dyDescent="0.25">
      <c r="C210" s="171" t="s">
        <v>435</v>
      </c>
      <c r="G210" s="170" t="s">
        <v>486</v>
      </c>
    </row>
    <row r="211" spans="3:7" x14ac:dyDescent="0.25">
      <c r="C211" s="171" t="s">
        <v>442</v>
      </c>
      <c r="G211" s="170"/>
    </row>
    <row r="212" spans="3:7" x14ac:dyDescent="0.25">
      <c r="C212" s="171" t="s">
        <v>446</v>
      </c>
      <c r="G212" s="170"/>
    </row>
    <row r="213" spans="3:7" ht="15.75" thickBot="1" x14ac:dyDescent="0.3">
      <c r="C213" s="173" t="s">
        <v>467</v>
      </c>
      <c r="G213" s="170"/>
    </row>
    <row r="214" spans="3:7" ht="15.75" thickBot="1" x14ac:dyDescent="0.3">
      <c r="C214" s="175"/>
      <c r="G214" s="167" t="s">
        <v>531</v>
      </c>
    </row>
    <row r="215" spans="3:7" ht="26.25" thickBot="1" x14ac:dyDescent="0.3">
      <c r="C215" s="167" t="s">
        <v>531</v>
      </c>
      <c r="G215" s="168" t="s">
        <v>401</v>
      </c>
    </row>
    <row r="216" spans="3:7" ht="15.75" thickBot="1" x14ac:dyDescent="0.3">
      <c r="C216" s="168" t="s">
        <v>403</v>
      </c>
      <c r="G216" s="170" t="s">
        <v>517</v>
      </c>
    </row>
    <row r="217" spans="3:7" ht="30" x14ac:dyDescent="0.25">
      <c r="C217" s="169" t="s">
        <v>402</v>
      </c>
      <c r="G217" s="170" t="s">
        <v>518</v>
      </c>
    </row>
    <row r="218" spans="3:7" ht="45" x14ac:dyDescent="0.25">
      <c r="C218" s="172" t="s">
        <v>409</v>
      </c>
      <c r="G218" s="170" t="s">
        <v>519</v>
      </c>
    </row>
    <row r="219" spans="3:7" x14ac:dyDescent="0.25">
      <c r="C219" s="173" t="s">
        <v>411</v>
      </c>
      <c r="G219" s="170" t="s">
        <v>520</v>
      </c>
    </row>
    <row r="220" spans="3:7" x14ac:dyDescent="0.25">
      <c r="C220" s="173" t="s">
        <v>415</v>
      </c>
      <c r="G220" s="170" t="s">
        <v>521</v>
      </c>
    </row>
    <row r="221" spans="3:7" x14ac:dyDescent="0.25">
      <c r="C221" s="173" t="s">
        <v>417</v>
      </c>
      <c r="G221" s="170" t="s">
        <v>522</v>
      </c>
    </row>
    <row r="222" spans="3:7" x14ac:dyDescent="0.25">
      <c r="C222" s="173" t="s">
        <v>419</v>
      </c>
      <c r="G222" s="170" t="s">
        <v>523</v>
      </c>
    </row>
    <row r="223" spans="3:7" x14ac:dyDescent="0.25">
      <c r="C223" s="171" t="s">
        <v>422</v>
      </c>
      <c r="G223" s="170" t="s">
        <v>524</v>
      </c>
    </row>
    <row r="224" spans="3:7" x14ac:dyDescent="0.25">
      <c r="C224" s="171" t="s">
        <v>429</v>
      </c>
      <c r="G224" s="170" t="s">
        <v>511</v>
      </c>
    </row>
    <row r="225" spans="3:7" x14ac:dyDescent="0.25">
      <c r="C225" s="171" t="s">
        <v>425</v>
      </c>
      <c r="G225" s="170" t="s">
        <v>525</v>
      </c>
    </row>
    <row r="226" spans="3:7" x14ac:dyDescent="0.25">
      <c r="C226" s="171" t="s">
        <v>427</v>
      </c>
      <c r="G226" s="170" t="s">
        <v>526</v>
      </c>
    </row>
    <row r="227" spans="3:7" ht="45" x14ac:dyDescent="0.25">
      <c r="C227" s="172" t="s">
        <v>430</v>
      </c>
      <c r="G227" s="170" t="s">
        <v>527</v>
      </c>
    </row>
    <row r="228" spans="3:7" x14ac:dyDescent="0.25">
      <c r="C228" s="171" t="s">
        <v>441</v>
      </c>
      <c r="G228" s="170" t="s">
        <v>528</v>
      </c>
    </row>
    <row r="229" spans="3:7" ht="30" x14ac:dyDescent="0.25">
      <c r="C229" s="172" t="s">
        <v>444</v>
      </c>
      <c r="G229" s="170" t="s">
        <v>491</v>
      </c>
    </row>
    <row r="230" spans="3:7" x14ac:dyDescent="0.25">
      <c r="C230" s="171" t="s">
        <v>435</v>
      </c>
      <c r="G230" s="170" t="s">
        <v>529</v>
      </c>
    </row>
    <row r="231" spans="3:7" x14ac:dyDescent="0.25">
      <c r="C231" s="171" t="s">
        <v>437</v>
      </c>
      <c r="G231" s="170" t="s">
        <v>530</v>
      </c>
    </row>
    <row r="232" spans="3:7" x14ac:dyDescent="0.25">
      <c r="C232" s="171" t="s">
        <v>439</v>
      </c>
      <c r="G232" s="170" t="s">
        <v>509</v>
      </c>
    </row>
    <row r="233" spans="3:7" x14ac:dyDescent="0.25">
      <c r="C233" s="171" t="s">
        <v>445</v>
      </c>
      <c r="G233" s="170" t="s">
        <v>486</v>
      </c>
    </row>
    <row r="234" spans="3:7" x14ac:dyDescent="0.25">
      <c r="C234" s="171" t="s">
        <v>446</v>
      </c>
      <c r="G234" s="170"/>
    </row>
    <row r="235" spans="3:7" x14ac:dyDescent="0.25">
      <c r="C235" s="171" t="s">
        <v>455</v>
      </c>
      <c r="G235" s="170"/>
    </row>
    <row r="236" spans="3:7" ht="15.75" thickBot="1" x14ac:dyDescent="0.3">
      <c r="C236" s="171" t="s">
        <v>447</v>
      </c>
      <c r="G236" s="170"/>
    </row>
    <row r="237" spans="3:7" ht="15.75" thickBot="1" x14ac:dyDescent="0.3">
      <c r="C237" s="176"/>
      <c r="G237" s="167" t="s">
        <v>532</v>
      </c>
    </row>
    <row r="238" spans="3:7" ht="15.75" thickBot="1" x14ac:dyDescent="0.3">
      <c r="C238" s="167" t="s">
        <v>532</v>
      </c>
      <c r="G238" s="168" t="s">
        <v>401</v>
      </c>
    </row>
    <row r="239" spans="3:7" ht="15.75" thickBot="1" x14ac:dyDescent="0.3">
      <c r="C239" s="168" t="s">
        <v>403</v>
      </c>
      <c r="G239" s="170" t="s">
        <v>450</v>
      </c>
    </row>
    <row r="240" spans="3:7" ht="30" x14ac:dyDescent="0.25">
      <c r="C240" s="169" t="s">
        <v>402</v>
      </c>
      <c r="G240" s="170" t="s">
        <v>451</v>
      </c>
    </row>
    <row r="241" spans="3:7" x14ac:dyDescent="0.25">
      <c r="C241" s="171" t="s">
        <v>405</v>
      </c>
      <c r="G241" s="170" t="s">
        <v>453</v>
      </c>
    </row>
    <row r="242" spans="3:7" x14ac:dyDescent="0.25">
      <c r="C242" s="171" t="s">
        <v>407</v>
      </c>
      <c r="G242" s="170" t="s">
        <v>454</v>
      </c>
    </row>
    <row r="243" spans="3:7" ht="45" x14ac:dyDescent="0.25">
      <c r="C243" s="172" t="s">
        <v>409</v>
      </c>
      <c r="G243" s="170" t="s">
        <v>456</v>
      </c>
    </row>
    <row r="244" spans="3:7" x14ac:dyDescent="0.25">
      <c r="C244" s="173" t="s">
        <v>411</v>
      </c>
      <c r="G244" s="170" t="s">
        <v>457</v>
      </c>
    </row>
    <row r="245" spans="3:7" x14ac:dyDescent="0.25">
      <c r="C245" s="171" t="s">
        <v>413</v>
      </c>
      <c r="G245" s="170" t="s">
        <v>459</v>
      </c>
    </row>
    <row r="246" spans="3:7" x14ac:dyDescent="0.25">
      <c r="C246" s="173" t="s">
        <v>415</v>
      </c>
      <c r="G246" s="170" t="s">
        <v>461</v>
      </c>
    </row>
    <row r="247" spans="3:7" x14ac:dyDescent="0.25">
      <c r="C247" s="171" t="s">
        <v>420</v>
      </c>
      <c r="G247" s="170" t="s">
        <v>462</v>
      </c>
    </row>
    <row r="248" spans="3:7" x14ac:dyDescent="0.25">
      <c r="C248" s="171" t="s">
        <v>424</v>
      </c>
      <c r="G248" s="170" t="s">
        <v>464</v>
      </c>
    </row>
    <row r="249" spans="3:7" x14ac:dyDescent="0.25">
      <c r="C249" s="171" t="s">
        <v>422</v>
      </c>
      <c r="G249" s="170" t="s">
        <v>466</v>
      </c>
    </row>
    <row r="250" spans="3:7" x14ac:dyDescent="0.25">
      <c r="C250" s="171" t="s">
        <v>425</v>
      </c>
      <c r="G250" s="170" t="s">
        <v>468</v>
      </c>
    </row>
    <row r="251" spans="3:7" x14ac:dyDescent="0.25">
      <c r="C251" s="171" t="s">
        <v>427</v>
      </c>
      <c r="G251" s="170" t="s">
        <v>469</v>
      </c>
    </row>
    <row r="252" spans="3:7" ht="45" x14ac:dyDescent="0.25">
      <c r="C252" s="172" t="s">
        <v>430</v>
      </c>
      <c r="G252" s="170" t="s">
        <v>470</v>
      </c>
    </row>
    <row r="253" spans="3:7" x14ac:dyDescent="0.25">
      <c r="C253" s="171" t="s">
        <v>432</v>
      </c>
      <c r="G253" s="170"/>
    </row>
    <row r="254" spans="3:7" x14ac:dyDescent="0.25">
      <c r="C254" s="171" t="s">
        <v>435</v>
      </c>
      <c r="G254" s="170"/>
    </row>
    <row r="255" spans="3:7" x14ac:dyDescent="0.25">
      <c r="C255" s="171" t="s">
        <v>437</v>
      </c>
    </row>
    <row r="256" spans="3:7" x14ac:dyDescent="0.25">
      <c r="C256" s="171" t="s">
        <v>439</v>
      </c>
    </row>
    <row r="257" spans="3:3" x14ac:dyDescent="0.25">
      <c r="C257" s="171" t="s">
        <v>445</v>
      </c>
    </row>
    <row r="258" spans="3:3" x14ac:dyDescent="0.25">
      <c r="C258" s="171" t="s">
        <v>446</v>
      </c>
    </row>
    <row r="259" spans="3:3" x14ac:dyDescent="0.25">
      <c r="C259" s="171" t="s">
        <v>447</v>
      </c>
    </row>
    <row r="260" spans="3:3" x14ac:dyDescent="0.25">
      <c r="C260" s="173" t="s">
        <v>467</v>
      </c>
    </row>
  </sheetData>
  <mergeCells count="12">
    <mergeCell ref="C25:E25"/>
    <mergeCell ref="A1:C1"/>
    <mergeCell ref="E1:G1"/>
    <mergeCell ref="J1:P1"/>
    <mergeCell ref="L2:P2"/>
    <mergeCell ref="I3:I7"/>
    <mergeCell ref="L8:P8"/>
    <mergeCell ref="L10:P11"/>
    <mergeCell ref="A11:A15"/>
    <mergeCell ref="B11:B13"/>
    <mergeCell ref="B14:B15"/>
    <mergeCell ref="A17:A20"/>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4:L49"/>
  <sheetViews>
    <sheetView topLeftCell="A15" zoomScale="85" zoomScaleNormal="85" workbookViewId="0">
      <selection activeCell="B18" sqref="B18"/>
    </sheetView>
  </sheetViews>
  <sheetFormatPr baseColWidth="10" defaultColWidth="11.42578125" defaultRowHeight="15" x14ac:dyDescent="0.25"/>
  <cols>
    <col min="2" max="2" width="40.85546875" style="112" customWidth="1"/>
    <col min="3" max="3" width="17.7109375" style="112" customWidth="1"/>
    <col min="4" max="4" width="13.28515625" bestFit="1" customWidth="1"/>
    <col min="5" max="5" width="13" customWidth="1"/>
    <col min="6" max="6" width="37.7109375" customWidth="1"/>
    <col min="7" max="7" width="21.7109375" customWidth="1"/>
    <col min="8" max="8" width="18" customWidth="1"/>
    <col min="11" max="11" width="33.28515625" customWidth="1"/>
  </cols>
  <sheetData>
    <row r="4" spans="2:12" ht="25.5" x14ac:dyDescent="0.25">
      <c r="B4" s="219" t="s">
        <v>180</v>
      </c>
      <c r="C4" s="124" t="s">
        <v>257</v>
      </c>
      <c r="D4" s="123" t="s">
        <v>183</v>
      </c>
      <c r="E4" s="122" t="s">
        <v>256</v>
      </c>
      <c r="F4" s="122" t="s">
        <v>255</v>
      </c>
      <c r="G4" s="125" t="s">
        <v>254</v>
      </c>
      <c r="H4" s="759" t="s">
        <v>253</v>
      </c>
      <c r="I4" s="759"/>
      <c r="J4" s="125" t="s">
        <v>252</v>
      </c>
      <c r="K4" s="125" t="s">
        <v>617</v>
      </c>
      <c r="L4" s="125" t="s">
        <v>752</v>
      </c>
    </row>
    <row r="5" spans="2:12" ht="25.5" x14ac:dyDescent="0.25">
      <c r="B5" s="220" t="s">
        <v>589</v>
      </c>
      <c r="C5" s="115" t="s">
        <v>233</v>
      </c>
      <c r="D5" s="119" t="s">
        <v>251</v>
      </c>
      <c r="E5" s="119" t="s">
        <v>26</v>
      </c>
      <c r="F5" s="121" t="s">
        <v>250</v>
      </c>
      <c r="G5" s="117" t="s">
        <v>249</v>
      </c>
      <c r="H5" s="117" t="s">
        <v>248</v>
      </c>
      <c r="I5" s="120">
        <v>100</v>
      </c>
      <c r="J5" s="117" t="s">
        <v>13</v>
      </c>
      <c r="K5" s="117" t="s">
        <v>618</v>
      </c>
      <c r="L5" s="134" t="s">
        <v>753</v>
      </c>
    </row>
    <row r="6" spans="2:12" ht="25.5" x14ac:dyDescent="0.25">
      <c r="B6" s="220" t="s">
        <v>590</v>
      </c>
      <c r="C6" s="115"/>
      <c r="D6" s="119" t="s">
        <v>247</v>
      </c>
      <c r="F6" s="121" t="s">
        <v>246</v>
      </c>
      <c r="G6" s="117" t="s">
        <v>245</v>
      </c>
      <c r="H6" s="117" t="s">
        <v>244</v>
      </c>
      <c r="I6" s="120">
        <v>50</v>
      </c>
      <c r="J6" s="117" t="s">
        <v>14</v>
      </c>
      <c r="K6" s="117" t="s">
        <v>619</v>
      </c>
      <c r="L6" s="134" t="s">
        <v>754</v>
      </c>
    </row>
    <row r="7" spans="2:12" ht="25.5" x14ac:dyDescent="0.25">
      <c r="B7" s="220" t="s">
        <v>591</v>
      </c>
      <c r="C7" s="115"/>
      <c r="D7" s="119" t="s">
        <v>243</v>
      </c>
      <c r="E7" s="121"/>
      <c r="F7" s="121" t="s">
        <v>242</v>
      </c>
      <c r="G7" s="117" t="s">
        <v>241</v>
      </c>
      <c r="H7" s="117" t="s">
        <v>240</v>
      </c>
      <c r="I7" s="120">
        <v>0</v>
      </c>
      <c r="J7" s="117"/>
      <c r="K7" s="117" t="s">
        <v>620</v>
      </c>
    </row>
    <row r="8" spans="2:12" ht="25.5" x14ac:dyDescent="0.25">
      <c r="B8" s="220" t="s">
        <v>592</v>
      </c>
      <c r="C8" s="115"/>
      <c r="D8" s="119" t="s">
        <v>239</v>
      </c>
      <c r="E8" s="119"/>
      <c r="F8" s="111"/>
      <c r="G8" s="111"/>
      <c r="H8" s="117" t="s">
        <v>238</v>
      </c>
      <c r="I8" s="111"/>
      <c r="J8" s="111"/>
      <c r="K8" s="221" t="s">
        <v>621</v>
      </c>
    </row>
    <row r="9" spans="2:12" ht="25.5" x14ac:dyDescent="0.25">
      <c r="B9" s="220" t="s">
        <v>593</v>
      </c>
      <c r="C9" s="115"/>
      <c r="D9" s="119" t="s">
        <v>237</v>
      </c>
      <c r="E9" s="111"/>
      <c r="F9" s="111"/>
      <c r="G9" s="111"/>
      <c r="H9" s="117" t="s">
        <v>236</v>
      </c>
      <c r="I9" s="111"/>
      <c r="J9" s="111"/>
      <c r="K9" s="117" t="s">
        <v>622</v>
      </c>
    </row>
    <row r="10" spans="2:12" ht="25.5" x14ac:dyDescent="0.25">
      <c r="B10" s="220" t="s">
        <v>594</v>
      </c>
      <c r="C10" s="115"/>
      <c r="D10" s="111"/>
      <c r="E10" s="111"/>
      <c r="F10" s="111"/>
      <c r="G10" s="111"/>
      <c r="H10" s="117" t="s">
        <v>235</v>
      </c>
      <c r="I10" s="111"/>
      <c r="J10" s="111"/>
      <c r="K10" s="117" t="s">
        <v>623</v>
      </c>
    </row>
    <row r="11" spans="2:12" ht="25.5" x14ac:dyDescent="0.25">
      <c r="B11" s="220" t="s">
        <v>595</v>
      </c>
      <c r="C11" s="115"/>
      <c r="D11" s="111"/>
      <c r="E11" s="111"/>
      <c r="F11" s="111"/>
      <c r="G11" s="111"/>
      <c r="H11" s="117" t="s">
        <v>234</v>
      </c>
      <c r="I11" s="111"/>
      <c r="J11" s="111"/>
      <c r="K11" s="117" t="s">
        <v>624</v>
      </c>
    </row>
    <row r="12" spans="2:12" ht="25.5" x14ac:dyDescent="0.25">
      <c r="B12" s="220" t="s">
        <v>596</v>
      </c>
      <c r="C12" s="115"/>
      <c r="D12" s="111"/>
      <c r="E12" s="111"/>
      <c r="F12" s="118" t="s">
        <v>232</v>
      </c>
      <c r="G12" s="111"/>
      <c r="H12" s="117" t="s">
        <v>231</v>
      </c>
      <c r="I12" s="111"/>
      <c r="J12" s="111"/>
      <c r="K12" s="111"/>
    </row>
    <row r="13" spans="2:12" ht="33" customHeight="1" x14ac:dyDescent="0.25">
      <c r="B13" s="220" t="s">
        <v>597</v>
      </c>
      <c r="C13" s="115"/>
      <c r="D13" s="111"/>
      <c r="E13" s="111"/>
      <c r="F13" s="116" t="s">
        <v>230</v>
      </c>
      <c r="G13" s="111"/>
      <c r="H13" s="117" t="s">
        <v>229</v>
      </c>
      <c r="I13" s="111"/>
      <c r="J13" s="111"/>
      <c r="K13" s="111"/>
    </row>
    <row r="14" spans="2:12" ht="32.25" customHeight="1" x14ac:dyDescent="0.25">
      <c r="B14" s="220" t="s">
        <v>598</v>
      </c>
      <c r="C14" s="115"/>
      <c r="D14" s="111"/>
      <c r="E14" s="111"/>
      <c r="F14" s="116" t="s">
        <v>228</v>
      </c>
      <c r="G14" s="111"/>
      <c r="H14" s="111"/>
      <c r="I14" s="111"/>
      <c r="J14" s="111"/>
      <c r="K14" s="111"/>
    </row>
    <row r="15" spans="2:12" ht="32.25" customHeight="1" x14ac:dyDescent="0.25">
      <c r="B15" s="220" t="s">
        <v>599</v>
      </c>
      <c r="C15" s="115"/>
      <c r="D15" s="111"/>
      <c r="E15" s="111"/>
      <c r="F15" s="116" t="s">
        <v>227</v>
      </c>
      <c r="G15" s="111"/>
      <c r="H15" s="111"/>
      <c r="I15" s="111"/>
      <c r="J15" s="111"/>
      <c r="K15" s="111"/>
    </row>
    <row r="16" spans="2:12" x14ac:dyDescent="0.25">
      <c r="B16" s="220" t="s">
        <v>600</v>
      </c>
      <c r="C16" s="115"/>
      <c r="D16" s="111"/>
      <c r="E16" s="111"/>
      <c r="F16" s="111"/>
      <c r="G16" s="111"/>
      <c r="H16" s="111"/>
      <c r="I16" s="111"/>
      <c r="J16" s="111"/>
      <c r="K16" s="111"/>
    </row>
    <row r="17" spans="2:11" x14ac:dyDescent="0.25">
      <c r="B17" s="220" t="s">
        <v>601</v>
      </c>
      <c r="C17" s="115"/>
      <c r="D17" s="111"/>
      <c r="E17" s="111"/>
      <c r="F17" s="111"/>
      <c r="G17" s="111"/>
      <c r="H17" s="111"/>
      <c r="I17" s="111"/>
      <c r="J17" s="111"/>
      <c r="K17" s="111"/>
    </row>
    <row r="18" spans="2:11" x14ac:dyDescent="0.25">
      <c r="B18" s="220" t="s">
        <v>602</v>
      </c>
      <c r="C18" s="115"/>
      <c r="D18" s="111"/>
      <c r="E18" s="111"/>
      <c r="F18" s="111"/>
      <c r="G18" s="111"/>
      <c r="H18" s="111"/>
      <c r="I18" s="111"/>
      <c r="J18" s="111"/>
      <c r="K18" s="111"/>
    </row>
    <row r="19" spans="2:11" x14ac:dyDescent="0.25">
      <c r="B19" s="220" t="s">
        <v>603</v>
      </c>
      <c r="C19" s="115"/>
      <c r="D19" s="111"/>
      <c r="E19" s="111"/>
      <c r="F19" s="111"/>
      <c r="G19" s="111"/>
      <c r="H19" s="111"/>
      <c r="I19" s="111"/>
      <c r="J19" s="111"/>
      <c r="K19" s="111"/>
    </row>
    <row r="20" spans="2:11" x14ac:dyDescent="0.25">
      <c r="B20" s="220" t="s">
        <v>604</v>
      </c>
      <c r="C20" s="115"/>
      <c r="D20" s="111"/>
      <c r="E20" s="111"/>
      <c r="F20" s="111"/>
      <c r="G20" s="111"/>
      <c r="H20" s="111"/>
      <c r="I20" s="111"/>
      <c r="J20" s="111"/>
      <c r="K20" s="111"/>
    </row>
    <row r="21" spans="2:11" x14ac:dyDescent="0.25">
      <c r="B21" s="220" t="s">
        <v>605</v>
      </c>
      <c r="C21" s="115"/>
      <c r="D21" s="111"/>
      <c r="E21" s="111"/>
      <c r="F21" s="111"/>
      <c r="G21" s="111"/>
      <c r="H21" s="111"/>
      <c r="I21" s="111"/>
      <c r="J21" s="111"/>
      <c r="K21" s="111"/>
    </row>
    <row r="22" spans="2:11" x14ac:dyDescent="0.25">
      <c r="B22" s="220" t="s">
        <v>606</v>
      </c>
      <c r="C22" s="115"/>
      <c r="D22" s="111"/>
      <c r="E22" s="111"/>
      <c r="F22" s="111"/>
      <c r="G22" s="111"/>
      <c r="H22" s="111"/>
      <c r="I22" s="111"/>
      <c r="J22" s="111"/>
      <c r="K22" s="111"/>
    </row>
    <row r="23" spans="2:11" x14ac:dyDescent="0.25">
      <c r="B23" s="220" t="s">
        <v>607</v>
      </c>
      <c r="C23" s="115"/>
      <c r="D23" s="111"/>
      <c r="E23" s="111"/>
      <c r="F23" s="111"/>
      <c r="G23" s="111"/>
      <c r="H23" s="111"/>
      <c r="I23" s="111"/>
      <c r="J23" s="111"/>
      <c r="K23" s="111"/>
    </row>
    <row r="24" spans="2:11" x14ac:dyDescent="0.25">
      <c r="B24" s="220" t="s">
        <v>608</v>
      </c>
      <c r="C24" s="115"/>
      <c r="D24" s="111"/>
      <c r="E24" s="111"/>
      <c r="F24" s="111"/>
      <c r="G24" s="111"/>
      <c r="H24" s="111"/>
      <c r="I24" s="111"/>
      <c r="J24" s="111"/>
      <c r="K24" s="111"/>
    </row>
    <row r="25" spans="2:11" x14ac:dyDescent="0.25">
      <c r="B25" s="220" t="s">
        <v>609</v>
      </c>
      <c r="C25" s="115"/>
      <c r="D25" s="111"/>
      <c r="E25" s="111"/>
      <c r="F25" s="111"/>
      <c r="G25" s="111"/>
      <c r="H25" s="111"/>
      <c r="I25" s="111"/>
      <c r="J25" s="111"/>
      <c r="K25" s="111"/>
    </row>
    <row r="26" spans="2:11" x14ac:dyDescent="0.25">
      <c r="B26" s="220" t="s">
        <v>762</v>
      </c>
      <c r="C26" s="115"/>
      <c r="D26" s="111"/>
      <c r="E26" s="111"/>
      <c r="F26" s="111"/>
      <c r="G26" s="111"/>
      <c r="H26" s="111"/>
      <c r="I26" s="111"/>
      <c r="J26" s="111"/>
      <c r="K26" s="111"/>
    </row>
    <row r="27" spans="2:11" ht="24" x14ac:dyDescent="0.25">
      <c r="B27" s="220" t="s">
        <v>610</v>
      </c>
      <c r="C27" s="115"/>
      <c r="D27" s="111"/>
      <c r="E27" s="111"/>
      <c r="F27" s="111"/>
      <c r="G27" s="111"/>
      <c r="H27" s="111"/>
      <c r="I27" s="111"/>
      <c r="J27" s="111"/>
      <c r="K27" s="111"/>
    </row>
    <row r="28" spans="2:11" x14ac:dyDescent="0.25">
      <c r="B28" s="220" t="s">
        <v>288</v>
      </c>
      <c r="C28" s="115"/>
      <c r="D28" s="111"/>
      <c r="E28" s="111"/>
      <c r="F28" s="111"/>
      <c r="G28" s="111"/>
      <c r="H28" s="111"/>
      <c r="I28" s="111"/>
      <c r="J28" s="111"/>
      <c r="K28" s="111"/>
    </row>
    <row r="29" spans="2:11" x14ac:dyDescent="0.25">
      <c r="B29" s="220" t="s">
        <v>611</v>
      </c>
    </row>
    <row r="30" spans="2:11" x14ac:dyDescent="0.25">
      <c r="B30" s="220" t="s">
        <v>281</v>
      </c>
    </row>
    <row r="31" spans="2:11" x14ac:dyDescent="0.25">
      <c r="B31" s="220" t="s">
        <v>280</v>
      </c>
    </row>
    <row r="32" spans="2:11" x14ac:dyDescent="0.25">
      <c r="B32" s="220" t="s">
        <v>612</v>
      </c>
    </row>
    <row r="33" spans="1:12" x14ac:dyDescent="0.25">
      <c r="B33" s="220" t="s">
        <v>286</v>
      </c>
    </row>
    <row r="34" spans="1:12" x14ac:dyDescent="0.25">
      <c r="B34" s="220" t="s">
        <v>613</v>
      </c>
    </row>
    <row r="35" spans="1:12" x14ac:dyDescent="0.25">
      <c r="B35" s="220" t="s">
        <v>698</v>
      </c>
    </row>
    <row r="38" spans="1:12" x14ac:dyDescent="0.25">
      <c r="A38" s="111"/>
      <c r="B38" s="111"/>
      <c r="C38" s="111"/>
      <c r="D38" s="111"/>
      <c r="E38" s="111"/>
      <c r="F38" s="111"/>
      <c r="G38" s="113"/>
      <c r="H38" s="113">
        <v>1</v>
      </c>
      <c r="I38" s="113">
        <v>2</v>
      </c>
      <c r="J38" s="113">
        <v>3</v>
      </c>
      <c r="K38" s="113">
        <v>4</v>
      </c>
      <c r="L38" s="113">
        <v>5</v>
      </c>
    </row>
    <row r="39" spans="1:12" x14ac:dyDescent="0.25">
      <c r="A39" s="111">
        <v>1</v>
      </c>
      <c r="B39" s="111" t="s">
        <v>226</v>
      </c>
      <c r="C39" s="111"/>
      <c r="D39" s="111"/>
      <c r="E39" s="111"/>
      <c r="F39" s="111"/>
      <c r="G39" s="113">
        <v>1</v>
      </c>
      <c r="H39" s="113" t="s">
        <v>221</v>
      </c>
      <c r="I39" s="113" t="s">
        <v>221</v>
      </c>
      <c r="J39" s="113" t="s">
        <v>220</v>
      </c>
      <c r="K39" s="113" t="s">
        <v>219</v>
      </c>
      <c r="L39" s="114" t="s">
        <v>218</v>
      </c>
    </row>
    <row r="40" spans="1:12" x14ac:dyDescent="0.25">
      <c r="A40" s="111">
        <v>2</v>
      </c>
      <c r="B40" s="111" t="s">
        <v>225</v>
      </c>
      <c r="C40" s="111"/>
      <c r="D40" s="111"/>
      <c r="E40" s="111"/>
      <c r="F40" s="111"/>
      <c r="G40" s="113">
        <v>2</v>
      </c>
      <c r="H40" s="113" t="s">
        <v>221</v>
      </c>
      <c r="I40" s="113" t="s">
        <v>221</v>
      </c>
      <c r="J40" s="113" t="s">
        <v>220</v>
      </c>
      <c r="K40" s="113" t="s">
        <v>219</v>
      </c>
      <c r="L40" s="113" t="s">
        <v>218</v>
      </c>
    </row>
    <row r="41" spans="1:12" x14ac:dyDescent="0.25">
      <c r="A41" s="111">
        <v>3</v>
      </c>
      <c r="B41" s="111" t="s">
        <v>224</v>
      </c>
      <c r="C41" s="111"/>
      <c r="D41" s="111"/>
      <c r="E41" s="111"/>
      <c r="F41" s="111"/>
      <c r="G41" s="113">
        <v>3</v>
      </c>
      <c r="H41" s="113" t="s">
        <v>221</v>
      </c>
      <c r="I41" s="113" t="s">
        <v>220</v>
      </c>
      <c r="J41" s="113" t="s">
        <v>219</v>
      </c>
      <c r="K41" s="113" t="s">
        <v>218</v>
      </c>
      <c r="L41" s="113" t="s">
        <v>218</v>
      </c>
    </row>
    <row r="42" spans="1:12" x14ac:dyDescent="0.25">
      <c r="A42" s="111">
        <v>4</v>
      </c>
      <c r="B42" s="111" t="s">
        <v>223</v>
      </c>
      <c r="C42" s="111"/>
      <c r="D42" s="111"/>
      <c r="E42" s="111"/>
      <c r="F42" s="111"/>
      <c r="G42" s="113">
        <v>4</v>
      </c>
      <c r="H42" s="113" t="s">
        <v>220</v>
      </c>
      <c r="I42" s="113" t="s">
        <v>219</v>
      </c>
      <c r="J42" s="113" t="s">
        <v>219</v>
      </c>
      <c r="K42" s="113" t="s">
        <v>218</v>
      </c>
      <c r="L42" s="113" t="s">
        <v>218</v>
      </c>
    </row>
    <row r="43" spans="1:12" x14ac:dyDescent="0.25">
      <c r="A43" s="111">
        <v>5</v>
      </c>
      <c r="B43" s="111" t="s">
        <v>222</v>
      </c>
      <c r="C43" s="111"/>
      <c r="D43" s="111"/>
      <c r="E43" s="111"/>
      <c r="F43" s="111"/>
      <c r="G43" s="113">
        <v>5</v>
      </c>
      <c r="H43" s="113" t="s">
        <v>219</v>
      </c>
      <c r="I43" s="113" t="s">
        <v>219</v>
      </c>
      <c r="J43" s="113" t="s">
        <v>218</v>
      </c>
      <c r="K43" s="113" t="s">
        <v>218</v>
      </c>
      <c r="L43" s="113" t="s">
        <v>218</v>
      </c>
    </row>
    <row r="48" spans="1:12" x14ac:dyDescent="0.25">
      <c r="B48" s="112" t="s">
        <v>292</v>
      </c>
    </row>
    <row r="49" spans="2:2" x14ac:dyDescent="0.25">
      <c r="B49" s="112" t="s">
        <v>293</v>
      </c>
    </row>
  </sheetData>
  <mergeCells count="1">
    <mergeCell ref="H4:I4"/>
  </mergeCells>
  <hyperlinks>
    <hyperlink ref="B7" r:id="rId1" display="https://www.igac.gov.co/sites/igac.gov.co/files/listadomaestro/ct-pry_gestion_de_proyectos.pdf" xr:uid="{00000000-0004-0000-1E00-000000000000}"/>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16</vt:i4>
      </vt:variant>
    </vt:vector>
  </HeadingPairs>
  <TitlesOfParts>
    <vt:vector size="45" baseType="lpstr">
      <vt:lpstr>Instructivo</vt:lpstr>
      <vt:lpstr>Instructivo R. Gestión</vt:lpstr>
      <vt:lpstr>Riesgos de gestión</vt:lpstr>
      <vt:lpstr>Instructivo R. Corrupción</vt:lpstr>
      <vt:lpstr>Riesgos de Corrupción</vt:lpstr>
      <vt:lpstr>Impacto Corrupción</vt:lpstr>
      <vt:lpstr>Impacto Corrupcion Contractual</vt:lpstr>
      <vt:lpstr>Impacto Servicios Tecnologicos</vt:lpstr>
      <vt:lpstr>Impacto Corrup Financiera</vt:lpstr>
      <vt:lpstr>Hoja1</vt:lpstr>
      <vt:lpstr>Impacto Corrupcion Ciudadano</vt:lpstr>
      <vt:lpstr>Impacto Corrupcion Bienes y Ser</vt:lpstr>
      <vt:lpstr>Impacto Corrupción Disciplinari</vt:lpstr>
      <vt:lpstr>Impacto Corrupcion Habilitacion</vt:lpstr>
      <vt:lpstr>Impacto Corrupcion Agrologia</vt:lpstr>
      <vt:lpstr>Corrupcion Documental</vt:lpstr>
      <vt:lpstr>Corrupcion Cartografia</vt:lpstr>
      <vt:lpstr>Corrupcion Evaluacion y Seguim</vt:lpstr>
      <vt:lpstr>Corrupción Geografica R30</vt:lpstr>
      <vt:lpstr>Corrupción Geografica R31</vt:lpstr>
      <vt:lpstr>Corrupción Catastro</vt:lpstr>
      <vt:lpstr>Matriz Calor Inherente</vt:lpstr>
      <vt:lpstr>Matriz Calor Residual</vt:lpstr>
      <vt:lpstr>Tabla probabilidad</vt:lpstr>
      <vt:lpstr>Tabla Impacto</vt:lpstr>
      <vt:lpstr>Tabla Valoración controles</vt:lpstr>
      <vt:lpstr>Opciones Tratamiento</vt:lpstr>
      <vt:lpstr>ListasRSec</vt:lpstr>
      <vt:lpstr>Listas</vt:lpstr>
      <vt:lpstr>_rc</vt:lpstr>
      <vt:lpstr>amenazas</vt:lpstr>
      <vt:lpstr>bd</vt:lpstr>
      <vt:lpstr>ClasificacionRSEG</vt:lpstr>
      <vt:lpstr>di</vt:lpstr>
      <vt:lpstr>ea</vt:lpstr>
      <vt:lpstr>ListasRSec!hw</vt:lpstr>
      <vt:lpstr>hw</vt:lpstr>
      <vt:lpstr>ip</vt:lpstr>
      <vt:lpstr>ListasRSec!nada</vt:lpstr>
      <vt:lpstr>ProcesosSEG</vt:lpstr>
      <vt:lpstr>sa</vt:lpstr>
      <vt:lpstr>si</vt:lpstr>
      <vt:lpstr>sw</vt:lpstr>
      <vt:lpstr>Tipo_Activo</vt:lpstr>
      <vt:lpstr>Tipo_riesgoseg</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Victor Alfonso Arias Garcia</cp:lastModifiedBy>
  <cp:lastPrinted>2024-05-02T12:46:45Z</cp:lastPrinted>
  <dcterms:created xsi:type="dcterms:W3CDTF">2020-03-24T23:12:47Z</dcterms:created>
  <dcterms:modified xsi:type="dcterms:W3CDTF">2025-04-21T15:33:56Z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fac521f-e930-485b-97f4-efbe7db8e98f_Enabled">
    <vt:lpwstr>true</vt:lpwstr>
  </property>
  <property fmtid="{D5CDD505-2E9C-101B-9397-08002B2CF9AE}" pid="3" name="MSIP_Label_5fac521f-e930-485b-97f4-efbe7db8e98f_SetDate">
    <vt:lpwstr>2022-11-03T17:28:54Z</vt:lpwstr>
  </property>
  <property fmtid="{D5CDD505-2E9C-101B-9397-08002B2CF9AE}" pid="4" name="MSIP_Label_5fac521f-e930-485b-97f4-efbe7db8e98f_Method">
    <vt:lpwstr>Standard</vt:lpwstr>
  </property>
  <property fmtid="{D5CDD505-2E9C-101B-9397-08002B2CF9AE}" pid="5" name="MSIP_Label_5fac521f-e930-485b-97f4-efbe7db8e98f_Name">
    <vt:lpwstr>defa4170-0d19-0005-0004-bc88714345d2</vt:lpwstr>
  </property>
  <property fmtid="{D5CDD505-2E9C-101B-9397-08002B2CF9AE}" pid="6" name="MSIP_Label_5fac521f-e930-485b-97f4-efbe7db8e98f_SiteId">
    <vt:lpwstr>9ecb216e-449b-4584-bc82-26bce78574fb</vt:lpwstr>
  </property>
  <property fmtid="{D5CDD505-2E9C-101B-9397-08002B2CF9AE}" pid="7" name="MSIP_Label_5fac521f-e930-485b-97f4-efbe7db8e98f_ActionId">
    <vt:lpwstr>99df4c21-7bee-45bd-b4cd-b464291b7020</vt:lpwstr>
  </property>
  <property fmtid="{D5CDD505-2E9C-101B-9397-08002B2CF9AE}" pid="8" name="MSIP_Label_5fac521f-e930-485b-97f4-efbe7db8e98f_ContentBits">
    <vt:lpwstr>0</vt:lpwstr>
  </property>
</Properties>
</file>